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Y2024\"/>
    </mc:Choice>
  </mc:AlternateContent>
  <xr:revisionPtr revIDLastSave="0" documentId="13_ncr:1_{5ADD53ED-07A2-4D40-9D25-901A170BEBC8}" xr6:coauthVersionLast="47" xr6:coauthVersionMax="47" xr10:uidLastSave="{00000000-0000-0000-0000-000000000000}"/>
  <bookViews>
    <workbookView xWindow="-110" yWindow="-110" windowWidth="19420" windowHeight="10300" tabRatio="582" firstSheet="30" activeTab="39" xr2:uid="{00000000-000D-0000-FFFF-FFFF00000000}"/>
  </bookViews>
  <sheets>
    <sheet name="Sales Master" sheetId="7" r:id="rId1"/>
    <sheet name="Delivery Location" sheetId="6" r:id="rId2"/>
    <sheet name="#01" sheetId="108" r:id="rId3"/>
    <sheet name="#02" sheetId="86" r:id="rId4"/>
    <sheet name="#03" sheetId="332" r:id="rId5"/>
    <sheet name="#04" sheetId="83" r:id="rId6"/>
    <sheet name="#05" sheetId="84" r:id="rId7"/>
    <sheet name="#06" sheetId="74" r:id="rId8"/>
    <sheet name="#07" sheetId="73" r:id="rId9"/>
    <sheet name="#08" sheetId="270" r:id="rId10"/>
    <sheet name="#09" sheetId="399" r:id="rId11"/>
    <sheet name="#10" sheetId="618" r:id="rId12"/>
    <sheet name="#12" sheetId="542" r:id="rId13"/>
    <sheet name="#13" sheetId="619" r:id="rId14"/>
    <sheet name="#15" sheetId="65" r:id="rId15"/>
    <sheet name="#16" sheetId="66" r:id="rId16"/>
    <sheet name="#17" sheetId="64" r:id="rId17"/>
    <sheet name="#18" sheetId="92" r:id="rId18"/>
    <sheet name="#19" sheetId="480" r:id="rId19"/>
    <sheet name="#20" sheetId="106" r:id="rId20"/>
    <sheet name="#21" sheetId="70" r:id="rId21"/>
    <sheet name="#22" sheetId="376" r:id="rId22"/>
    <sheet name="#23" sheetId="481" r:id="rId23"/>
    <sheet name="#24" sheetId="120" r:id="rId24"/>
    <sheet name="#25" sheetId="113" r:id="rId25"/>
    <sheet name="#27" sheetId="131" r:id="rId26"/>
    <sheet name="#28" sheetId="76" r:id="rId27"/>
    <sheet name="#29" sheetId="77" r:id="rId28"/>
    <sheet name="#31" sheetId="123" r:id="rId29"/>
    <sheet name="#32" sheetId="56" r:id="rId30"/>
    <sheet name="#33" sheetId="366" r:id="rId31"/>
    <sheet name="#34" sheetId="124" r:id="rId32"/>
    <sheet name="#36" sheetId="41" r:id="rId33"/>
    <sheet name="#37" sheetId="527" r:id="rId34"/>
    <sheet name="#38" sheetId="528" r:id="rId35"/>
    <sheet name="#39" sheetId="146" r:id="rId36"/>
    <sheet name="#40" sheetId="36" r:id="rId37"/>
    <sheet name="#41" sheetId="51" r:id="rId38"/>
    <sheet name="#42" sheetId="380" r:id="rId39"/>
    <sheet name="#43" sheetId="387" r:id="rId40"/>
    <sheet name="#44" sheetId="388" r:id="rId41"/>
    <sheet name="#46" sheetId="197" r:id="rId42"/>
    <sheet name="#47" sheetId="136" r:id="rId43"/>
    <sheet name="#48" sheetId="50" r:id="rId44"/>
    <sheet name="#49" sheetId="49" r:id="rId45"/>
    <sheet name="#50" sheetId="617" r:id="rId46"/>
    <sheet name="#51" sheetId="391" r:id="rId47"/>
    <sheet name="#52" sheetId="81" r:id="rId48"/>
    <sheet name="#54" sheetId="117" r:id="rId49"/>
    <sheet name="#55" sheetId="116" r:id="rId50"/>
    <sheet name="#56" sheetId="42" r:id="rId51"/>
    <sheet name="#57" sheetId="130" r:id="rId52"/>
    <sheet name="#58" sheetId="78" r:id="rId53"/>
    <sheet name="#59" sheetId="121" r:id="rId54"/>
    <sheet name="#60" sheetId="396" r:id="rId55"/>
    <sheet name="#61" sheetId="263" r:id="rId56"/>
    <sheet name="#62" sheetId="400" r:id="rId57"/>
    <sheet name="#63" sheetId="52" r:id="rId58"/>
    <sheet name="#64" sheetId="330" r:id="rId59"/>
    <sheet name="#65" sheetId="75" r:id="rId60"/>
    <sheet name="#67" sheetId="97" r:id="rId61"/>
    <sheet name="#68" sheetId="90" r:id="rId62"/>
    <sheet name="#69" sheetId="72" r:id="rId63"/>
    <sheet name="#70" sheetId="401" r:id="rId64"/>
    <sheet name="#71" sheetId="119" r:id="rId65"/>
    <sheet name="#73" sheetId="53" r:id="rId66"/>
    <sheet name="#74" sheetId="45" r:id="rId67"/>
    <sheet name="#75" sheetId="46" r:id="rId68"/>
    <sheet name="#76" sheetId="47" r:id="rId69"/>
    <sheet name="#77" sheetId="409" r:id="rId70"/>
    <sheet name="#78" sheetId="620" r:id="rId71"/>
    <sheet name="#79" sheetId="44" r:id="rId72"/>
    <sheet name="#80" sheetId="94" r:id="rId73"/>
    <sheet name="#81" sheetId="67" r:id="rId74"/>
    <sheet name="#84" sheetId="139" r:id="rId75"/>
    <sheet name="#85" sheetId="489" r:id="rId76"/>
    <sheet name="#86" sheetId="68" r:id="rId77"/>
    <sheet name="#87" sheetId="524" r:id="rId78"/>
    <sheet name="#88" sheetId="621" r:id="rId79"/>
    <sheet name="#89" sheetId="329" r:id="rId80"/>
    <sheet name="#90" sheetId="96" r:id="rId81"/>
    <sheet name="#91" sheetId="543" r:id="rId82"/>
    <sheet name="#92" sheetId="378" r:id="rId83"/>
    <sheet name="#93" sheetId="102" r:id="rId84"/>
    <sheet name="#94" sheetId="103" r:id="rId85"/>
    <sheet name="#95" sheetId="544" r:id="rId86"/>
    <sheet name="#96" sheetId="494" r:id="rId87"/>
    <sheet name="#97" sheetId="412" r:id="rId88"/>
    <sheet name="#99" sheetId="499" r:id="rId89"/>
    <sheet name="#100" sheetId="525" r:id="rId90"/>
    <sheet name="#101" sheetId="145" r:id="rId91"/>
    <sheet name="#103" sheetId="157" r:id="rId92"/>
    <sheet name="#104" sheetId="171" r:id="rId93"/>
    <sheet name="#105" sheetId="150" r:id="rId94"/>
    <sheet name="#106" sheetId="441" r:id="rId95"/>
    <sheet name="#107" sheetId="442" r:id="rId96"/>
    <sheet name="#108" sheetId="443" r:id="rId97"/>
    <sheet name="#109" sheetId="159" r:id="rId98"/>
    <sheet name="#110" sheetId="477" r:id="rId99"/>
    <sheet name="#111" sheetId="466" r:id="rId100"/>
    <sheet name="#112" sheetId="478" r:id="rId101"/>
    <sheet name="#113" sheetId="413" r:id="rId102"/>
    <sheet name="#114" sheetId="164" r:id="rId103"/>
    <sheet name="#115" sheetId="414" r:id="rId104"/>
    <sheet name="#116" sheetId="416" r:id="rId105"/>
    <sheet name="#117" sheetId="421" r:id="rId106"/>
    <sheet name="#120" sheetId="424" r:id="rId107"/>
    <sheet name="#121" sheetId="169" r:id="rId108"/>
    <sheet name="#122" sheetId="427" r:id="rId109"/>
    <sheet name="#123" sheetId="174" r:id="rId110"/>
    <sheet name="#124" sheetId="176" r:id="rId111"/>
    <sheet name="#125" sheetId="541" r:id="rId112"/>
    <sheet name="#126" sheetId="179" r:id="rId113"/>
    <sheet name="#127" sheetId="180" r:id="rId114"/>
    <sheet name="#128" sheetId="181" r:id="rId115"/>
    <sheet name="#129" sheetId="182" r:id="rId116"/>
    <sheet name="#130" sheetId="184" r:id="rId117"/>
    <sheet name="#131" sheetId="185" r:id="rId118"/>
    <sheet name="#132" sheetId="432" r:id="rId119"/>
    <sheet name="#133" sheetId="187" r:id="rId120"/>
    <sheet name="#134" sheetId="188" r:id="rId121"/>
    <sheet name="#135" sheetId="189" r:id="rId122"/>
    <sheet name="#135 (2)" sheetId="598" r:id="rId123"/>
    <sheet name="#137" sheetId="433" r:id="rId124"/>
    <sheet name="#140" sheetId="429" r:id="rId125"/>
    <sheet name="#142" sheetId="428" r:id="rId126"/>
    <sheet name="#143" sheetId="436" r:id="rId127"/>
    <sheet name="#144" sheetId="445" r:id="rId128"/>
    <sheet name="#145" sheetId="204" r:id="rId129"/>
    <sheet name="#146" sheetId="453" r:id="rId130"/>
    <sheet name="#147" sheetId="434" r:id="rId131"/>
    <sheet name="#148" sheetId="483" r:id="rId132"/>
    <sheet name="#150" sheetId="209" r:id="rId133"/>
    <sheet name="#151" sheetId="422" r:id="rId134"/>
    <sheet name="#152" sheetId="214" r:id="rId135"/>
    <sheet name="#153" sheetId="215" r:id="rId136"/>
    <sheet name="#154" sheetId="216" r:id="rId137"/>
    <sheet name="#155" sheetId="217" r:id="rId138"/>
    <sheet name="#156" sheetId="370" r:id="rId139"/>
    <sheet name="#157" sheetId="219" r:id="rId140"/>
    <sheet name="#158" sheetId="221" r:id="rId141"/>
    <sheet name="#159" sheetId="222" r:id="rId142"/>
    <sheet name="#160" sheetId="625" r:id="rId143"/>
    <sheet name="#162" sheetId="501" r:id="rId144"/>
    <sheet name="#163" sheetId="227" r:id="rId145"/>
    <sheet name="#164" sheetId="228" r:id="rId146"/>
    <sheet name="#165" sheetId="230" r:id="rId147"/>
    <sheet name="#166" sheetId="232" r:id="rId148"/>
    <sheet name="#167" sheetId="331" r:id="rId149"/>
    <sheet name="#168" sheetId="235" r:id="rId150"/>
    <sheet name="#169" sheetId="278" r:id="rId151"/>
    <sheet name="#170" sheetId="624" r:id="rId152"/>
    <sheet name="#171" sheetId="249" r:id="rId153"/>
    <sheet name="#172" sheetId="248" r:id="rId154"/>
    <sheet name="#173" sheetId="246" r:id="rId155"/>
    <sheet name="#174" sheetId="486" r:id="rId156"/>
    <sheet name="#175" sheetId="239" r:id="rId157"/>
    <sheet name="#176" sheetId="238" r:id="rId158"/>
    <sheet name="#178" sheetId="236" r:id="rId159"/>
    <sheet name="#179" sheetId="233" r:id="rId160"/>
    <sheet name="#181" sheetId="237" r:id="rId161"/>
    <sheet name="#182" sheetId="452" r:id="rId162"/>
    <sheet name="#185" sheetId="599" r:id="rId163"/>
    <sheet name="#186" sheetId="255" r:id="rId164"/>
    <sheet name="#187" sheetId="268" r:id="rId165"/>
    <sheet name="#188" sheetId="269" r:id="rId166"/>
    <sheet name="#189" sheetId="273" r:id="rId167"/>
    <sheet name="#190" sheetId="274" r:id="rId168"/>
    <sheet name="#191" sheetId="276" r:id="rId169"/>
    <sheet name="#193" sheetId="277" r:id="rId170"/>
    <sheet name="#194" sheetId="280" r:id="rId171"/>
    <sheet name="#195" sheetId="281" r:id="rId172"/>
    <sheet name="#196" sheetId="282" r:id="rId173"/>
    <sheet name="#197" sheetId="283" r:id="rId174"/>
    <sheet name="#198" sheetId="285" r:id="rId175"/>
    <sheet name="#199" sheetId="286" r:id="rId176"/>
    <sheet name="#200" sheetId="287" r:id="rId177"/>
    <sheet name="#201" sheetId="290" r:id="rId178"/>
    <sheet name="#202" sheetId="291" r:id="rId179"/>
    <sheet name="#203" sheetId="292" r:id="rId180"/>
    <sheet name="#204" sheetId="293" r:id="rId181"/>
    <sheet name="#205" sheetId="294" r:id="rId182"/>
    <sheet name="#207" sheetId="311" r:id="rId183"/>
    <sheet name="#208" sheetId="314" r:id="rId184"/>
    <sheet name="#210" sheetId="321" r:id="rId185"/>
    <sheet name="#211" sheetId="334" r:id="rId186"/>
    <sheet name="#212" sheetId="340" r:id="rId187"/>
    <sheet name="#213" sheetId="339" r:id="rId188"/>
    <sheet name="#214" sheetId="338" r:id="rId189"/>
    <sheet name="#215" sheetId="342" r:id="rId190"/>
    <sheet name="#216" sheetId="346" r:id="rId191"/>
    <sheet name="#217" sheetId="426" r:id="rId192"/>
    <sheet name="#218" sheetId="511" r:id="rId193"/>
    <sheet name="#219" sheetId="512" r:id="rId194"/>
    <sheet name="#221" sheetId="519" r:id="rId195"/>
    <sheet name="#222" sheetId="520" r:id="rId196"/>
    <sheet name="#223" sheetId="521" r:id="rId197"/>
    <sheet name="#224" sheetId="522" r:id="rId198"/>
    <sheet name="#225" sheetId="523" r:id="rId199"/>
    <sheet name="#226" sheetId="534" r:id="rId200"/>
    <sheet name="#227" sheetId="537" r:id="rId201"/>
    <sheet name="#228" sheetId="546" r:id="rId202"/>
    <sheet name="#229" sheetId="549" r:id="rId203"/>
    <sheet name="#230" sheetId="550" r:id="rId204"/>
    <sheet name="#231" sheetId="551" r:id="rId205"/>
    <sheet name="#232" sheetId="556" r:id="rId206"/>
    <sheet name="#233" sheetId="560" r:id="rId207"/>
    <sheet name="#234" sheetId="570" r:id="rId208"/>
    <sheet name="#235" sheetId="573" r:id="rId209"/>
    <sheet name="#236" sheetId="574" r:id="rId210"/>
    <sheet name="#237" sheetId="579" r:id="rId211"/>
    <sheet name="#238" sheetId="581" r:id="rId212"/>
    <sheet name="#239" sheetId="583" r:id="rId213"/>
    <sheet name="#240" sheetId="585" r:id="rId214"/>
    <sheet name="#241" sheetId="588" r:id="rId215"/>
    <sheet name="#242" sheetId="589" r:id="rId216"/>
    <sheet name="#243" sheetId="590" r:id="rId217"/>
    <sheet name="#244" sheetId="594" r:id="rId218"/>
    <sheet name="#245" sheetId="603" r:id="rId219"/>
    <sheet name="#246" sheetId="604" r:id="rId220"/>
    <sheet name="#247" sheetId="608" r:id="rId221"/>
    <sheet name="#248" sheetId="614" r:id="rId222"/>
    <sheet name="#249" sheetId="623" r:id="rId223"/>
    <sheet name="#250" sheetId="626" r:id="rId224"/>
    <sheet name="#251" sheetId="633" r:id="rId225"/>
    <sheet name="#252" sheetId="634" r:id="rId226"/>
    <sheet name="#253" sheetId="635" r:id="rId227"/>
    <sheet name="#254" sheetId="636" r:id="rId228"/>
    <sheet name="#255" sheetId="640" r:id="rId229"/>
    <sheet name="SAMPLE" sheetId="243" r:id="rId230"/>
    <sheet name="#30" sheetId="82" r:id="rId231"/>
    <sheet name="sEFONG" sheetId="178" r:id="rId232"/>
    <sheet name="City Energy" sheetId="320" r:id="rId233"/>
    <sheet name="Sheet1" sheetId="335" r:id="rId234"/>
  </sheets>
  <externalReferences>
    <externalReference r:id="rId235"/>
    <externalReference r:id="rId236"/>
    <externalReference r:id="rId237"/>
    <externalReference r:id="rId238"/>
  </externalReferences>
  <definedNames>
    <definedName name="_xlnm._FilterDatabase" localSheetId="1" hidden="1">'Delivery Location'!$A$3:$Z$257</definedName>
    <definedName name="_xlnm._FilterDatabase" localSheetId="0" hidden="1">'Sales Master'!$A$2:$DA$530</definedName>
    <definedName name="_xlnm.Print_Area" localSheetId="2">'#01'!$B$1:$L$42</definedName>
    <definedName name="_xlnm.Print_Area" localSheetId="3">'#02'!$B$1:$L$39</definedName>
    <definedName name="_xlnm.Print_Area" localSheetId="4">'#03'!$B$1:$L$42</definedName>
    <definedName name="_xlnm.Print_Area" localSheetId="5">'#04'!$B$1:$L$52</definedName>
    <definedName name="_xlnm.Print_Area" localSheetId="6">'#05'!$B$1:$L$47</definedName>
    <definedName name="_xlnm.Print_Area" localSheetId="7">'#06'!$B$7:$L$51</definedName>
    <definedName name="_xlnm.Print_Area" localSheetId="8">'#07'!$B$8:$L$50</definedName>
    <definedName name="_xlnm.Print_Area" localSheetId="9">'#08'!$B$1:$L$46</definedName>
    <definedName name="_xlnm.Print_Area" localSheetId="10">'#09'!$B$1:$L$47</definedName>
    <definedName name="_xlnm.Print_Area" localSheetId="11">'#10'!$B$1:$L$50</definedName>
    <definedName name="_xlnm.Print_Area" localSheetId="89">'#100'!$B$1:$L$43</definedName>
    <definedName name="_xlnm.Print_Area" localSheetId="90">'#101'!$B$1:$L$44</definedName>
    <definedName name="_xlnm.Print_Area" localSheetId="91">'#103'!$B$1:$L$42</definedName>
    <definedName name="_xlnm.Print_Area" localSheetId="92">'#104'!$B$1:$L$51</definedName>
    <definedName name="_xlnm.Print_Area" localSheetId="93">'#105'!$B$1:$L$46</definedName>
    <definedName name="_xlnm.Print_Area" localSheetId="94">'#106'!$B$1:$L$52</definedName>
    <definedName name="_xlnm.Print_Area" localSheetId="95">'#107'!$B$1:$L$43</definedName>
    <definedName name="_xlnm.Print_Area" localSheetId="96">'#108'!$B$1:$L$44</definedName>
    <definedName name="_xlnm.Print_Area" localSheetId="97">'#109'!$B$9:$L$51</definedName>
    <definedName name="_xlnm.Print_Area" localSheetId="98">'#110'!$B$1:$L$46</definedName>
    <definedName name="_xlnm.Print_Area" localSheetId="99">'#111'!$B$1:$L$42</definedName>
    <definedName name="_xlnm.Print_Area" localSheetId="100">'#112'!$B$1:$L$42</definedName>
    <definedName name="_xlnm.Print_Area" localSheetId="101">'#113'!$B$1:$L$42</definedName>
    <definedName name="_xlnm.Print_Area" localSheetId="102">'#114'!$B$1:$L$42</definedName>
    <definedName name="_xlnm.Print_Area" localSheetId="103">'#115'!$B$1:$L$42</definedName>
    <definedName name="_xlnm.Print_Area" localSheetId="104">'#116'!$B$1:$L$40</definedName>
    <definedName name="_xlnm.Print_Area" localSheetId="105">'#117'!$B$1:$L$40</definedName>
    <definedName name="_xlnm.Print_Area" localSheetId="12">'#12'!$B$1:$L$44</definedName>
    <definedName name="_xlnm.Print_Area" localSheetId="106">'#120'!$B$1:$L$44</definedName>
    <definedName name="_xlnm.Print_Area" localSheetId="107">'#121'!$B$1:$L$47</definedName>
    <definedName name="_xlnm.Print_Area" localSheetId="108">'#122'!$B$1:$L$44</definedName>
    <definedName name="_xlnm.Print_Area" localSheetId="109">'#123'!$B$1:$L$45</definedName>
    <definedName name="_xlnm.Print_Area" localSheetId="110">'#124'!$B$1:$L$46</definedName>
    <definedName name="_xlnm.Print_Area" localSheetId="111">'#125'!$B$1:$L$43</definedName>
    <definedName name="_xlnm.Print_Area" localSheetId="112">'#126'!$B$1:$L$51</definedName>
    <definedName name="_xlnm.Print_Area" localSheetId="113">'#127'!$B$1:$L$41</definedName>
    <definedName name="_xlnm.Print_Area" localSheetId="114">'#128'!$B$1:$L$43</definedName>
    <definedName name="_xlnm.Print_Area" localSheetId="115">'#129'!$B$1:$L$46</definedName>
    <definedName name="_xlnm.Print_Area" localSheetId="13">'#13'!$B$1:$L$53</definedName>
    <definedName name="_xlnm.Print_Area" localSheetId="116">'#130'!$B$1:$L$44</definedName>
    <definedName name="_xlnm.Print_Area" localSheetId="117">'#131'!$B$1:$L$51</definedName>
    <definedName name="_xlnm.Print_Area" localSheetId="118">'#132'!$B$1:$L$47</definedName>
    <definedName name="_xlnm.Print_Area" localSheetId="119">'#133'!$B$1:$L$51</definedName>
    <definedName name="_xlnm.Print_Area" localSheetId="120">'#134'!$B$1:$L$51</definedName>
    <definedName name="_xlnm.Print_Area" localSheetId="121">'#135'!$B$1:$L$46</definedName>
    <definedName name="_xlnm.Print_Area" localSheetId="122">'#135 (2)'!$B$1:$L$46</definedName>
    <definedName name="_xlnm.Print_Area" localSheetId="123">'#137'!$B$1:$L$44</definedName>
    <definedName name="_xlnm.Print_Area" localSheetId="124">'#140'!$B$1:$L$48</definedName>
    <definedName name="_xlnm.Print_Area" localSheetId="125">'#142'!$B$1:$L$42</definedName>
    <definedName name="_xlnm.Print_Area" localSheetId="126">'#143'!$B$1:$L$47</definedName>
    <definedName name="_xlnm.Print_Area" localSheetId="127">'#144'!$B$1:$L$48</definedName>
    <definedName name="_xlnm.Print_Area" localSheetId="128">'#145'!$B$1:$L$46</definedName>
    <definedName name="_xlnm.Print_Area" localSheetId="129">'#146'!$B$1:$L$42</definedName>
    <definedName name="_xlnm.Print_Area" localSheetId="130">'#147'!$B$1:$L$42</definedName>
    <definedName name="_xlnm.Print_Area" localSheetId="131">'#148'!$B$1:$L$41</definedName>
    <definedName name="_xlnm.Print_Area" localSheetId="14">'#15'!$B$1:$L$41</definedName>
    <definedName name="_xlnm.Print_Area" localSheetId="132">'#150'!$B$1:$L$41</definedName>
    <definedName name="_xlnm.Print_Area" localSheetId="133">'#151'!$B$1:$L$42</definedName>
    <definedName name="_xlnm.Print_Area" localSheetId="134">'#152'!$B$1:$L$42</definedName>
    <definedName name="_xlnm.Print_Area" localSheetId="135">'#153'!$B$1:$L$52</definedName>
    <definedName name="_xlnm.Print_Area" localSheetId="136">'#154'!$B$1:$L$41</definedName>
    <definedName name="_xlnm.Print_Area" localSheetId="137">'#155'!$B$1:$L$44</definedName>
    <definedName name="_xlnm.Print_Area" localSheetId="138">'#156'!$B$1:$L$48</definedName>
    <definedName name="_xlnm.Print_Area" localSheetId="139">'#157'!$B$1:$L$56</definedName>
    <definedName name="_xlnm.Print_Area" localSheetId="140">'#158'!$B$1:$L$39</definedName>
    <definedName name="_xlnm.Print_Area" localSheetId="141">'#159'!$B$1:$L$39</definedName>
    <definedName name="_xlnm.Print_Area" localSheetId="15">'#16'!$B$1:$L$42</definedName>
    <definedName name="_xlnm.Print_Area" localSheetId="142">'#160'!$B$1:$L$43</definedName>
    <definedName name="_xlnm.Print_Area" localSheetId="143">'#162'!$B$1:$L$42</definedName>
    <definedName name="_xlnm.Print_Area" localSheetId="144">'#163'!$B$1:$L$38</definedName>
    <definedName name="_xlnm.Print_Area" localSheetId="145">'#164'!$B$1:$L$42</definedName>
    <definedName name="_xlnm.Print_Area" localSheetId="146">'#165'!$B$1:$L$41</definedName>
    <definedName name="_xlnm.Print_Area" localSheetId="147">'#166'!$B$1:$L$41</definedName>
    <definedName name="_xlnm.Print_Area" localSheetId="148">'#167'!$B$1:$L$43</definedName>
    <definedName name="_xlnm.Print_Area" localSheetId="149">'#168'!$B$1:$L$44</definedName>
    <definedName name="_xlnm.Print_Area" localSheetId="150">'#169'!$B$1:$L$46</definedName>
    <definedName name="_xlnm.Print_Area" localSheetId="16">'#17'!$B$1:$L$45</definedName>
    <definedName name="_xlnm.Print_Area" localSheetId="151">'#170'!$B$1:$L$44</definedName>
    <definedName name="_xlnm.Print_Area" localSheetId="152">'#171'!$B$1:$L$41</definedName>
    <definedName name="_xlnm.Print_Area" localSheetId="153">'#172'!$B$1:$L$39</definedName>
    <definedName name="_xlnm.Print_Area" localSheetId="154">'#173'!$B$1:$L$48</definedName>
    <definedName name="_xlnm.Print_Area" localSheetId="155">'#174'!$B$1:$L$53</definedName>
    <definedName name="_xlnm.Print_Area" localSheetId="156">'#175'!$B$1:$L$42</definedName>
    <definedName name="_xlnm.Print_Area" localSheetId="157">'#176'!$B$1:$L$44</definedName>
    <definedName name="_xlnm.Print_Area" localSheetId="158">'#178'!$B$1:$L$41</definedName>
    <definedName name="_xlnm.Print_Area" localSheetId="159">'#179'!$B$1:$L$42</definedName>
    <definedName name="_xlnm.Print_Area" localSheetId="17">'#18'!$B$1:$L$48</definedName>
    <definedName name="_xlnm.Print_Area" localSheetId="160">'#181'!$B$1:$L$39</definedName>
    <definedName name="_xlnm.Print_Area" localSheetId="161">'#182'!$B$1:$L$42</definedName>
    <definedName name="_xlnm.Print_Area" localSheetId="162">'#185'!$B$1:$L$43</definedName>
    <definedName name="_xlnm.Print_Area" localSheetId="163">'#186'!$B$1:$L$41</definedName>
    <definedName name="_xlnm.Print_Area" localSheetId="164">'#187'!$B$1:$L$44</definedName>
    <definedName name="_xlnm.Print_Area" localSheetId="165">'#188'!$B$1:$L$43</definedName>
    <definedName name="_xlnm.Print_Area" localSheetId="166">'#189'!$B$1:$L$42</definedName>
    <definedName name="_xlnm.Print_Area" localSheetId="18">'#19'!$B$1:$L$43</definedName>
    <definedName name="_xlnm.Print_Area" localSheetId="167">'#190'!$B$1:$L$41</definedName>
    <definedName name="_xlnm.Print_Area" localSheetId="168">'#191'!$B$1:$L$42</definedName>
    <definedName name="_xlnm.Print_Area" localSheetId="169">'#193'!$B$1:$L$44</definedName>
    <definedName name="_xlnm.Print_Area" localSheetId="170">'#194'!$B$1:$L$40</definedName>
    <definedName name="_xlnm.Print_Area" localSheetId="171">'#195'!$B$1:$L$43</definedName>
    <definedName name="_xlnm.Print_Area" localSheetId="172">'#196'!$B$1:$L$43</definedName>
    <definedName name="_xlnm.Print_Area" localSheetId="173">'#197'!$B$1:$L$49</definedName>
    <definedName name="_xlnm.Print_Area" localSheetId="174">'#198'!$B$1:$L$41</definedName>
    <definedName name="_xlnm.Print_Area" localSheetId="175">'#199'!$B$1:$L$38</definedName>
    <definedName name="_xlnm.Print_Area" localSheetId="19">'#20'!$B$1:$L$40</definedName>
    <definedName name="_xlnm.Print_Area" localSheetId="176">'#200'!$B$1:$L$41</definedName>
    <definedName name="_xlnm.Print_Area" localSheetId="177">'#201'!$B$1:$L$42</definedName>
    <definedName name="_xlnm.Print_Area" localSheetId="178">'#202'!$B$1:$L$42</definedName>
    <definedName name="_xlnm.Print_Area" localSheetId="179">'#203'!$B$1:$L$42</definedName>
    <definedName name="_xlnm.Print_Area" localSheetId="180">'#204'!$B$1:$L$42</definedName>
    <definedName name="_xlnm.Print_Area" localSheetId="181">'#205'!$B$1:$L$41</definedName>
    <definedName name="_xlnm.Print_Area" localSheetId="182">'#207'!$B$1:$L$43</definedName>
    <definedName name="_xlnm.Print_Area" localSheetId="183">'#208'!$B$1:$L$43</definedName>
    <definedName name="_xlnm.Print_Area" localSheetId="20">'#21'!$B$1:$L$45</definedName>
    <definedName name="_xlnm.Print_Area" localSheetId="184">'#210'!$B$1:$L$40</definedName>
    <definedName name="_xlnm.Print_Area" localSheetId="185">'#211'!$B$1:$L$46</definedName>
    <definedName name="_xlnm.Print_Area" localSheetId="186">'#212'!$B$1:$L$42</definedName>
    <definedName name="_xlnm.Print_Area" localSheetId="187">'#213'!$B$1:$L$44</definedName>
    <definedName name="_xlnm.Print_Area" localSheetId="188">'#214'!$B$1:$L$42</definedName>
    <definedName name="_xlnm.Print_Area" localSheetId="189">'#215'!$B$1:$L$50</definedName>
    <definedName name="_xlnm.Print_Area" localSheetId="190">'#216'!$B$1:$L$42</definedName>
    <definedName name="_xlnm.Print_Area" localSheetId="191">'#217'!$B$1:$L$42</definedName>
    <definedName name="_xlnm.Print_Area" localSheetId="192">'#218'!$B$1:$L$44</definedName>
    <definedName name="_xlnm.Print_Area" localSheetId="193">'#219'!$B$1:$L$44</definedName>
    <definedName name="_xlnm.Print_Area" localSheetId="21">'#22'!$B$1:$L$44</definedName>
    <definedName name="_xlnm.Print_Area" localSheetId="194">'#221'!$B$1:$L$42</definedName>
    <definedName name="_xlnm.Print_Area" localSheetId="195">'#222'!$B$1:$L$42</definedName>
    <definedName name="_xlnm.Print_Area" localSheetId="196">'#223'!$B$1:$L$42</definedName>
    <definedName name="_xlnm.Print_Area" localSheetId="197">'#224'!$B$1:$L$42</definedName>
    <definedName name="_xlnm.Print_Area" localSheetId="198">'#225'!$B$1:$L$42</definedName>
    <definedName name="_xlnm.Print_Area" localSheetId="199">'#226'!$B$1:$L$42</definedName>
    <definedName name="_xlnm.Print_Area" localSheetId="200">'#227'!$B$1:$L$48</definedName>
    <definedName name="_xlnm.Print_Area" localSheetId="201">'#228'!$B$1:$L$42</definedName>
    <definedName name="_xlnm.Print_Area" localSheetId="202">'#229'!$B$1:$L$42</definedName>
    <definedName name="_xlnm.Print_Area" localSheetId="22">'#23'!$B$1:$L$48</definedName>
    <definedName name="_xlnm.Print_Area" localSheetId="203">'#230'!$B$1:$L$46</definedName>
    <definedName name="_xlnm.Print_Area" localSheetId="204">'#231'!$B$1:$L$47</definedName>
    <definedName name="_xlnm.Print_Area" localSheetId="205">'#232'!$B$1:$L$48</definedName>
    <definedName name="_xlnm.Print_Area" localSheetId="206">'#233'!$B$1:$L$49</definedName>
    <definedName name="_xlnm.Print_Area" localSheetId="207">'#234'!$B$1:$L$42</definedName>
    <definedName name="_xlnm.Print_Area" localSheetId="208">'#235'!$B$1:$L$44</definedName>
    <definedName name="_xlnm.Print_Area" localSheetId="209">'#236'!$B$1:$L$45</definedName>
    <definedName name="_xlnm.Print_Area" localSheetId="210">'#237'!$B$1:$L$48</definedName>
    <definedName name="_xlnm.Print_Area" localSheetId="211">'#238'!$B$1:$L$49</definedName>
    <definedName name="_xlnm.Print_Area" localSheetId="212">'#239'!$B$1:$L$45</definedName>
    <definedName name="_xlnm.Print_Area" localSheetId="23">'#24'!$B$1:$L$46</definedName>
    <definedName name="_xlnm.Print_Area" localSheetId="213">'#240'!$B$1:$L$52</definedName>
    <definedName name="_xlnm.Print_Area" localSheetId="214">'#241'!$B$1:$L$42</definedName>
    <definedName name="_xlnm.Print_Area" localSheetId="215">'#242'!$B$1:$L$47</definedName>
    <definedName name="_xlnm.Print_Area" localSheetId="216">'#243'!$B$1:$L$48</definedName>
    <definedName name="_xlnm.Print_Area" localSheetId="217">'#244'!$B$1:$L$50</definedName>
    <definedName name="_xlnm.Print_Area" localSheetId="218">'#245'!$B$1:$L$46</definedName>
    <definedName name="_xlnm.Print_Area" localSheetId="219">'#246'!$B$1:$L$42</definedName>
    <definedName name="_xlnm.Print_Area" localSheetId="220">'#247'!$B$1:$L$43</definedName>
    <definedName name="_xlnm.Print_Area" localSheetId="221">'#248'!$B$1:$L$44</definedName>
    <definedName name="_xlnm.Print_Area" localSheetId="222">'#249'!$B$1:$L$44</definedName>
    <definedName name="_xlnm.Print_Area" localSheetId="24">'#25'!$B$1:$L$43</definedName>
    <definedName name="_xlnm.Print_Area" localSheetId="223">'#250'!$B$1:$L$43</definedName>
    <definedName name="_xlnm.Print_Area" localSheetId="224">'#251'!$B$1:$L$42</definedName>
    <definedName name="_xlnm.Print_Area" localSheetId="225">'#252'!$B$1:$L$43</definedName>
    <definedName name="_xlnm.Print_Area" localSheetId="226">'#253'!$B$1:$L$41</definedName>
    <definedName name="_xlnm.Print_Area" localSheetId="227">'#254'!$B$1:$L$41</definedName>
    <definedName name="_xlnm.Print_Area" localSheetId="228">'#255'!$B$1:$L$41</definedName>
    <definedName name="_xlnm.Print_Area" localSheetId="25">'#27'!$B$1:$L$43</definedName>
    <definedName name="_xlnm.Print_Area" localSheetId="26">'#28'!$B$1:$L$43</definedName>
    <definedName name="_xlnm.Print_Area" localSheetId="27">'#29'!$B$1:$L$43</definedName>
    <definedName name="_xlnm.Print_Area" localSheetId="230">'#30'!$B$1:$L$42</definedName>
    <definedName name="_xlnm.Print_Area" localSheetId="28">'#31'!$B$1:$L$51</definedName>
    <definedName name="_xlnm.Print_Area" localSheetId="29">'#32'!$B$1:$L$45</definedName>
    <definedName name="_xlnm.Print_Area" localSheetId="30">'#33'!$B$1:$L$48</definedName>
    <definedName name="_xlnm.Print_Area" localSheetId="31">'#34'!$B$1:$L$41</definedName>
    <definedName name="_xlnm.Print_Area" localSheetId="32">'#36'!$B$1:$L$48</definedName>
    <definedName name="_xlnm.Print_Area" localSheetId="33">'#37'!$B$1:$L$45</definedName>
    <definedName name="_xlnm.Print_Area" localSheetId="34">'#38'!$B$1:$L$45</definedName>
    <definedName name="_xlnm.Print_Area" localSheetId="35">'#39'!$B$1:$L$43</definedName>
    <definedName name="_xlnm.Print_Area" localSheetId="36">'#40'!$B$1:$L$45</definedName>
    <definedName name="_xlnm.Print_Area" localSheetId="37">'#41'!$B$1:$L$49</definedName>
    <definedName name="_xlnm.Print_Area" localSheetId="38">'#42'!$B$1:$L$56</definedName>
    <definedName name="_xlnm.Print_Area" localSheetId="39">'#43'!$B$1:$L$47</definedName>
    <definedName name="_xlnm.Print_Area" localSheetId="40">'#44'!$B$1:$L$38</definedName>
    <definedName name="_xlnm.Print_Area" localSheetId="41">'#46'!$B$1:$L$51</definedName>
    <definedName name="_xlnm.Print_Area" localSheetId="42">'#47'!$B$1:$L$48</definedName>
    <definedName name="_xlnm.Print_Area" localSheetId="43">'#48'!$B$1:$L$44</definedName>
    <definedName name="_xlnm.Print_Area" localSheetId="44">'#49'!$B$1:$L$52</definedName>
    <definedName name="_xlnm.Print_Area" localSheetId="45">'#50'!$B$1:$L$52</definedName>
    <definedName name="_xlnm.Print_Area" localSheetId="46">'#51'!$B$1:$L$44</definedName>
    <definedName name="_xlnm.Print_Area" localSheetId="47">'#52'!$B$1:$L$42</definedName>
    <definedName name="_xlnm.Print_Area" localSheetId="48">'#54'!$B$1:$L$41</definedName>
    <definedName name="_xlnm.Print_Area" localSheetId="49">'#55'!$B$1:$L$41</definedName>
    <definedName name="_xlnm.Print_Area" localSheetId="50">'#56'!$B$1:$L$47</definedName>
    <definedName name="_xlnm.Print_Area" localSheetId="51">'#57'!$B$1:$L$43</definedName>
    <definedName name="_xlnm.Print_Area" localSheetId="52">'#58'!$B$1:$L$47</definedName>
    <definedName name="_xlnm.Print_Area" localSheetId="53">'#59'!$B$1:$L$40</definedName>
    <definedName name="_xlnm.Print_Area" localSheetId="54">'#60'!$B$1:$L$43</definedName>
    <definedName name="_xlnm.Print_Area" localSheetId="55">'#61'!$B$1:$L$38</definedName>
    <definedName name="_xlnm.Print_Area" localSheetId="56">'#62'!$B$1:$L$45</definedName>
    <definedName name="_xlnm.Print_Area" localSheetId="57">'#63'!$B$1:$L$53</definedName>
    <definedName name="_xlnm.Print_Area" localSheetId="58">'#64'!$B$1:$L$57</definedName>
    <definedName name="_xlnm.Print_Area" localSheetId="59">'#65'!$B$1:$L$48</definedName>
    <definedName name="_xlnm.Print_Area" localSheetId="60">'#67'!$B$1:$L$44</definedName>
    <definedName name="_xlnm.Print_Area" localSheetId="61">'#68'!$B$1:$L$45</definedName>
    <definedName name="_xlnm.Print_Area" localSheetId="62">'#69'!$B$1:$L$55</definedName>
    <definedName name="_xlnm.Print_Area" localSheetId="63">'#70'!$B$1:$L$43</definedName>
    <definedName name="_xlnm.Print_Area" localSheetId="64">'#71'!$B$1:$L$43</definedName>
    <definedName name="_xlnm.Print_Area" localSheetId="65">'#73'!$B$1:$L$42</definedName>
    <definedName name="_xlnm.Print_Area" localSheetId="66">'#74'!$B$1:$L$51</definedName>
    <definedName name="_xlnm.Print_Area" localSheetId="67">'#75'!$B$1:$L$43</definedName>
    <definedName name="_xlnm.Print_Area" localSheetId="68">'#76'!$B$1:$L$51</definedName>
    <definedName name="_xlnm.Print_Area" localSheetId="69">'#77'!$B$1:$L$42</definedName>
    <definedName name="_xlnm.Print_Area" localSheetId="70">'#78'!$B$1:$L$45</definedName>
    <definedName name="_xlnm.Print_Area" localSheetId="71">'#79'!$B$1:$L$54</definedName>
    <definedName name="_xlnm.Print_Area" localSheetId="72">'#80'!$B$1:$L$51</definedName>
    <definedName name="_xlnm.Print_Area" localSheetId="73">'#81'!$B$1:$L$45</definedName>
    <definedName name="_xlnm.Print_Area" localSheetId="74">'#84'!$B$1:$L$51</definedName>
    <definedName name="_xlnm.Print_Area" localSheetId="75">'#85'!$B$1:$L$42</definedName>
    <definedName name="_xlnm.Print_Area" localSheetId="76">'#86'!$B$1:$L$42</definedName>
    <definedName name="_xlnm.Print_Area" localSheetId="77">'#87'!$B$1:$L$42</definedName>
    <definedName name="_xlnm.Print_Area" localSheetId="78">'#88'!$B$1:$L$50</definedName>
    <definedName name="_xlnm.Print_Area" localSheetId="79">'#89'!$B$1:$L$47</definedName>
    <definedName name="_xlnm.Print_Area" localSheetId="80">'#90'!$B$1:$L$54</definedName>
    <definedName name="_xlnm.Print_Area" localSheetId="81">'#91'!$B$1:$L$48</definedName>
    <definedName name="_xlnm.Print_Area" localSheetId="82">'#92'!$B$1:$L$45</definedName>
    <definedName name="_xlnm.Print_Area" localSheetId="83">'#93'!$B$1:$L$44</definedName>
    <definedName name="_xlnm.Print_Area" localSheetId="84">'#94'!$B$1:$L$40</definedName>
    <definedName name="_xlnm.Print_Area" localSheetId="85">'#95'!$B$1:$L$40</definedName>
    <definedName name="_xlnm.Print_Area" localSheetId="86">'#96'!$B$1:$L$42</definedName>
    <definedName name="_xlnm.Print_Area" localSheetId="87">'#97'!$B$1:$L$42</definedName>
    <definedName name="_xlnm.Print_Area" localSheetId="88">'#99'!$B$1:$L$41</definedName>
    <definedName name="_xlnm.Print_Area" localSheetId="232">'City Energy'!$B$1:$L$46</definedName>
    <definedName name="_xlnm.Print_Area" localSheetId="1">'Delivery Location'!$A$3:$P$89</definedName>
    <definedName name="_xlnm.Print_Area" localSheetId="0">'Sales Master'!$B$2:$J$498</definedName>
    <definedName name="_xlnm.Print_Area" localSheetId="229">SAMPLE!$B$1:$L$44</definedName>
    <definedName name="_xlnm.Print_Area" localSheetId="231">sEFONG!$B$5:$L$47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1" i="387" l="1"/>
  <c r="H31" i="387"/>
  <c r="D31" i="387"/>
  <c r="C28" i="329"/>
  <c r="D28" i="329" s="1"/>
  <c r="C19" i="329"/>
  <c r="D19" i="329" s="1"/>
  <c r="C27" i="329"/>
  <c r="D27" i="329" s="1"/>
  <c r="C22" i="329"/>
  <c r="D22" i="329" s="1"/>
  <c r="C23" i="329"/>
  <c r="D23" i="329" s="1"/>
  <c r="C21" i="329"/>
  <c r="D21" i="329" s="1"/>
  <c r="C24" i="329"/>
  <c r="D24" i="329" s="1"/>
  <c r="I28" i="543"/>
  <c r="H28" i="543"/>
  <c r="D28" i="543"/>
  <c r="I26" i="67"/>
  <c r="H26" i="67"/>
  <c r="D26" i="67"/>
  <c r="I36" i="94"/>
  <c r="H36" i="94"/>
  <c r="D36" i="94"/>
  <c r="I39" i="44"/>
  <c r="H39" i="44"/>
  <c r="D39" i="44"/>
  <c r="I24" i="46"/>
  <c r="H24" i="46"/>
  <c r="D24" i="46"/>
  <c r="I31" i="75"/>
  <c r="H31" i="75"/>
  <c r="D31" i="75"/>
  <c r="I44" i="330"/>
  <c r="H44" i="330"/>
  <c r="D44" i="330"/>
  <c r="I33" i="41"/>
  <c r="H33" i="41"/>
  <c r="D33" i="41"/>
  <c r="I26" i="270"/>
  <c r="H26" i="270"/>
  <c r="D26" i="270"/>
  <c r="I25" i="270"/>
  <c r="H25" i="270"/>
  <c r="D25" i="270"/>
  <c r="I28" i="400"/>
  <c r="H28" i="400"/>
  <c r="D28" i="400"/>
  <c r="I23" i="396"/>
  <c r="H23" i="396"/>
  <c r="D23" i="396"/>
  <c r="I34" i="42"/>
  <c r="H34" i="42"/>
  <c r="D34" i="42"/>
  <c r="I23" i="116"/>
  <c r="H23" i="116"/>
  <c r="D23" i="116"/>
  <c r="I27" i="391"/>
  <c r="H27" i="391"/>
  <c r="D27" i="391"/>
  <c r="I36" i="49"/>
  <c r="H36" i="49"/>
  <c r="D36" i="49"/>
  <c r="I32" i="136"/>
  <c r="H32" i="136"/>
  <c r="D32" i="136"/>
  <c r="I40" i="380"/>
  <c r="H40" i="380"/>
  <c r="D40" i="380"/>
  <c r="I34" i="51"/>
  <c r="H34" i="51"/>
  <c r="D34" i="51"/>
  <c r="I26" i="36"/>
  <c r="H26" i="36"/>
  <c r="D26" i="36"/>
  <c r="I32" i="41"/>
  <c r="H32" i="41"/>
  <c r="D32" i="41"/>
  <c r="I27" i="76"/>
  <c r="H27" i="76"/>
  <c r="D27" i="76"/>
  <c r="I37" i="83"/>
  <c r="H37" i="83"/>
  <c r="D37" i="83"/>
  <c r="I26" i="108"/>
  <c r="H26" i="108"/>
  <c r="D26" i="108"/>
  <c r="K21" i="583"/>
  <c r="L21" i="583" s="1"/>
  <c r="I21" i="583"/>
  <c r="H21" i="583"/>
  <c r="K22" i="583"/>
  <c r="L22" i="583" s="1"/>
  <c r="I22" i="583"/>
  <c r="H22" i="583"/>
  <c r="K23" i="583"/>
  <c r="L23" i="583" s="1"/>
  <c r="I23" i="583"/>
  <c r="H23" i="583"/>
  <c r="D21" i="583"/>
  <c r="D22" i="583"/>
  <c r="D23" i="583"/>
  <c r="K21" i="117"/>
  <c r="L21" i="117" s="1"/>
  <c r="I21" i="117"/>
  <c r="H21" i="117"/>
  <c r="K20" i="117"/>
  <c r="L20" i="117" s="1"/>
  <c r="I20" i="117"/>
  <c r="H20" i="117"/>
  <c r="K19" i="117"/>
  <c r="L19" i="117" s="1"/>
  <c r="I19" i="117"/>
  <c r="H19" i="117"/>
  <c r="D21" i="117"/>
  <c r="D20" i="117"/>
  <c r="D19" i="117"/>
  <c r="C33" i="617"/>
  <c r="D33" i="617" s="1"/>
  <c r="C19" i="640"/>
  <c r="D19" i="640" s="1"/>
  <c r="K32" i="640"/>
  <c r="C18" i="640"/>
  <c r="F11" i="640"/>
  <c r="C18" i="232"/>
  <c r="I19" i="329" l="1"/>
  <c r="H28" i="329"/>
  <c r="I28" i="329"/>
  <c r="K28" i="329"/>
  <c r="L28" i="329" s="1"/>
  <c r="I21" i="329"/>
  <c r="H27" i="329"/>
  <c r="H23" i="329"/>
  <c r="K27" i="329"/>
  <c r="L27" i="329" s="1"/>
  <c r="K21" i="329"/>
  <c r="L21" i="329" s="1"/>
  <c r="I27" i="329"/>
  <c r="I23" i="329"/>
  <c r="H19" i="329"/>
  <c r="K23" i="329"/>
  <c r="L23" i="329" s="1"/>
  <c r="I24" i="329"/>
  <c r="H22" i="329"/>
  <c r="K19" i="329"/>
  <c r="L19" i="329" s="1"/>
  <c r="K24" i="329"/>
  <c r="L24" i="329" s="1"/>
  <c r="I22" i="329"/>
  <c r="K22" i="329"/>
  <c r="L22" i="329" s="1"/>
  <c r="H24" i="329"/>
  <c r="H21" i="329"/>
  <c r="N33" i="617"/>
  <c r="H33" i="617"/>
  <c r="I33" i="617"/>
  <c r="K33" i="617"/>
  <c r="H19" i="640"/>
  <c r="I19" i="640"/>
  <c r="K19" i="640"/>
  <c r="D18" i="640"/>
  <c r="H18" i="640"/>
  <c r="I18" i="640"/>
  <c r="K18" i="640"/>
  <c r="O33" i="617" l="1"/>
  <c r="P33" i="617" s="1"/>
  <c r="L33" i="617"/>
  <c r="L19" i="640"/>
  <c r="L18" i="640"/>
  <c r="L29" i="640" l="1"/>
  <c r="L30" i="640" l="1"/>
  <c r="L31" i="640" s="1"/>
  <c r="L32" i="640" s="1"/>
  <c r="L33" i="640" s="1"/>
  <c r="K26" i="49" l="1"/>
  <c r="L26" i="49" s="1"/>
  <c r="I26" i="49"/>
  <c r="H26" i="49"/>
  <c r="K27" i="49"/>
  <c r="L27" i="49" s="1"/>
  <c r="I27" i="49"/>
  <c r="H27" i="49"/>
  <c r="K31" i="49"/>
  <c r="L31" i="49" s="1"/>
  <c r="I31" i="49"/>
  <c r="H31" i="49"/>
  <c r="K22" i="49"/>
  <c r="L22" i="49" s="1"/>
  <c r="I22" i="49"/>
  <c r="H22" i="49"/>
  <c r="K21" i="49"/>
  <c r="L21" i="49" s="1"/>
  <c r="I21" i="49"/>
  <c r="H21" i="49"/>
  <c r="K25" i="49"/>
  <c r="L25" i="49" s="1"/>
  <c r="I25" i="49"/>
  <c r="H25" i="49"/>
  <c r="K24" i="49"/>
  <c r="L24" i="49" s="1"/>
  <c r="I24" i="49"/>
  <c r="H24" i="49"/>
  <c r="K29" i="49"/>
  <c r="L29" i="49" s="1"/>
  <c r="I29" i="49"/>
  <c r="H29" i="49"/>
  <c r="K32" i="49"/>
  <c r="L32" i="49" s="1"/>
  <c r="I32" i="49"/>
  <c r="H32" i="49"/>
  <c r="D26" i="49"/>
  <c r="D27" i="49"/>
  <c r="D31" i="49"/>
  <c r="D22" i="49"/>
  <c r="D21" i="49"/>
  <c r="D25" i="49"/>
  <c r="D24" i="49"/>
  <c r="D29" i="49"/>
  <c r="D32" i="49"/>
  <c r="K20" i="50"/>
  <c r="L20" i="50" s="1"/>
  <c r="I20" i="50"/>
  <c r="H20" i="50"/>
  <c r="D20" i="50"/>
  <c r="K19" i="78"/>
  <c r="I19" i="78"/>
  <c r="H19" i="78"/>
  <c r="D19" i="78"/>
  <c r="K20" i="291"/>
  <c r="L20" i="291" s="1"/>
  <c r="I20" i="291"/>
  <c r="H20" i="291"/>
  <c r="D20" i="291"/>
  <c r="K19" i="291"/>
  <c r="L19" i="291" s="1"/>
  <c r="I19" i="291"/>
  <c r="H19" i="291"/>
  <c r="D19" i="291"/>
  <c r="K21" i="594"/>
  <c r="L21" i="594" s="1"/>
  <c r="I21" i="594"/>
  <c r="H21" i="594"/>
  <c r="K31" i="594"/>
  <c r="L31" i="594" s="1"/>
  <c r="I31" i="594"/>
  <c r="H31" i="594"/>
  <c r="K30" i="594"/>
  <c r="L30" i="594" s="1"/>
  <c r="I30" i="594"/>
  <c r="H30" i="594"/>
  <c r="K29" i="594"/>
  <c r="L29" i="594" s="1"/>
  <c r="I29" i="594"/>
  <c r="H29" i="594"/>
  <c r="K28" i="594"/>
  <c r="L28" i="594" s="1"/>
  <c r="I28" i="594"/>
  <c r="H28" i="594"/>
  <c r="K27" i="594"/>
  <c r="L27" i="594" s="1"/>
  <c r="I27" i="594"/>
  <c r="H27" i="594"/>
  <c r="K26" i="594"/>
  <c r="L26" i="594" s="1"/>
  <c r="I26" i="594"/>
  <c r="H26" i="594"/>
  <c r="D21" i="594"/>
  <c r="D31" i="594"/>
  <c r="D30" i="594"/>
  <c r="D29" i="594"/>
  <c r="D28" i="594"/>
  <c r="D27" i="594"/>
  <c r="D26" i="594"/>
  <c r="K22" i="573"/>
  <c r="L22" i="573" s="1"/>
  <c r="I22" i="573"/>
  <c r="H22" i="573"/>
  <c r="K19" i="573"/>
  <c r="L19" i="573" s="1"/>
  <c r="I19" i="573"/>
  <c r="H19" i="573"/>
  <c r="D22" i="573"/>
  <c r="D19" i="573"/>
  <c r="K20" i="573"/>
  <c r="L20" i="573" s="1"/>
  <c r="I20" i="573"/>
  <c r="H20" i="573"/>
  <c r="D20" i="573"/>
  <c r="C30" i="621"/>
  <c r="D30" i="621" s="1"/>
  <c r="C31" i="621"/>
  <c r="D31" i="621" s="1"/>
  <c r="C22" i="621"/>
  <c r="D22" i="621" s="1"/>
  <c r="C19" i="621"/>
  <c r="D19" i="621" s="1"/>
  <c r="C28" i="621"/>
  <c r="D28" i="621" s="1"/>
  <c r="C29" i="621"/>
  <c r="D29" i="621" s="1"/>
  <c r="C25" i="621"/>
  <c r="D25" i="621" s="1"/>
  <c r="C23" i="621"/>
  <c r="D23" i="621" s="1"/>
  <c r="C21" i="621"/>
  <c r="D21" i="621" s="1"/>
  <c r="C24" i="621"/>
  <c r="D24" i="621" s="1"/>
  <c r="C27" i="621"/>
  <c r="D27" i="621" s="1"/>
  <c r="C28" i="342"/>
  <c r="D28" i="342" s="1"/>
  <c r="C33" i="342"/>
  <c r="I33" i="342" s="1"/>
  <c r="C31" i="342"/>
  <c r="D31" i="342" s="1"/>
  <c r="C25" i="342"/>
  <c r="K25" i="342" s="1"/>
  <c r="L25" i="342" s="1"/>
  <c r="C23" i="342"/>
  <c r="D23" i="342" s="1"/>
  <c r="I20" i="342"/>
  <c r="C27" i="342"/>
  <c r="H27" i="342" s="1"/>
  <c r="C24" i="342"/>
  <c r="C21" i="342"/>
  <c r="C29" i="342"/>
  <c r="C32" i="342"/>
  <c r="C30" i="342"/>
  <c r="C19" i="342"/>
  <c r="C26" i="342"/>
  <c r="C22" i="342"/>
  <c r="C18" i="342"/>
  <c r="K32" i="52"/>
  <c r="L32" i="52" s="1"/>
  <c r="I32" i="52"/>
  <c r="H32" i="52"/>
  <c r="K31" i="52"/>
  <c r="L31" i="52" s="1"/>
  <c r="I31" i="52"/>
  <c r="H31" i="52"/>
  <c r="K24" i="52"/>
  <c r="L24" i="52" s="1"/>
  <c r="I24" i="52"/>
  <c r="H24" i="52"/>
  <c r="K30" i="52"/>
  <c r="L30" i="52" s="1"/>
  <c r="I30" i="52"/>
  <c r="H30" i="52"/>
  <c r="K22" i="52"/>
  <c r="L22" i="52" s="1"/>
  <c r="I22" i="52"/>
  <c r="H22" i="52"/>
  <c r="K23" i="52"/>
  <c r="L23" i="52" s="1"/>
  <c r="I23" i="52"/>
  <c r="H23" i="52"/>
  <c r="K21" i="52"/>
  <c r="L21" i="52" s="1"/>
  <c r="I21" i="52"/>
  <c r="H21" i="52"/>
  <c r="K20" i="52"/>
  <c r="L20" i="52" s="1"/>
  <c r="I20" i="52"/>
  <c r="H20" i="52"/>
  <c r="K19" i="52"/>
  <c r="L19" i="52" s="1"/>
  <c r="I19" i="52"/>
  <c r="H19" i="52"/>
  <c r="D32" i="52"/>
  <c r="D31" i="52"/>
  <c r="D24" i="52"/>
  <c r="D30" i="52"/>
  <c r="D22" i="52"/>
  <c r="D23" i="52"/>
  <c r="D21" i="52"/>
  <c r="D20" i="52"/>
  <c r="D19" i="52"/>
  <c r="K22" i="176"/>
  <c r="I22" i="176"/>
  <c r="H22" i="176"/>
  <c r="K21" i="176"/>
  <c r="I21" i="176"/>
  <c r="H21" i="176"/>
  <c r="D22" i="176"/>
  <c r="D21" i="176"/>
  <c r="K20" i="636"/>
  <c r="L20" i="636" s="1"/>
  <c r="I20" i="636"/>
  <c r="H20" i="636"/>
  <c r="D20" i="636"/>
  <c r="L19" i="78" l="1"/>
  <c r="H28" i="621"/>
  <c r="K31" i="621"/>
  <c r="I28" i="621"/>
  <c r="H22" i="621"/>
  <c r="K28" i="621"/>
  <c r="I22" i="621"/>
  <c r="K22" i="621"/>
  <c r="H30" i="621"/>
  <c r="K19" i="621"/>
  <c r="L19" i="621" s="1"/>
  <c r="I31" i="621"/>
  <c r="H29" i="621"/>
  <c r="I30" i="621"/>
  <c r="I29" i="621"/>
  <c r="H19" i="621"/>
  <c r="K30" i="621"/>
  <c r="L30" i="621" s="1"/>
  <c r="K29" i="621"/>
  <c r="L29" i="621" s="1"/>
  <c r="I19" i="621"/>
  <c r="H31" i="621"/>
  <c r="H25" i="621"/>
  <c r="K25" i="621"/>
  <c r="L25" i="621" s="1"/>
  <c r="I25" i="621"/>
  <c r="K23" i="621"/>
  <c r="H23" i="621"/>
  <c r="I23" i="621"/>
  <c r="H21" i="621"/>
  <c r="I21" i="621"/>
  <c r="K21" i="621"/>
  <c r="L21" i="621" s="1"/>
  <c r="H24" i="621"/>
  <c r="K24" i="621"/>
  <c r="I24" i="621"/>
  <c r="H27" i="621"/>
  <c r="K27" i="621"/>
  <c r="I27" i="621"/>
  <c r="K28" i="342"/>
  <c r="L28" i="342" s="1"/>
  <c r="H28" i="342"/>
  <c r="I28" i="342"/>
  <c r="D33" i="342"/>
  <c r="H33" i="342"/>
  <c r="K33" i="342"/>
  <c r="L33" i="342" s="1"/>
  <c r="K31" i="342"/>
  <c r="L31" i="342" s="1"/>
  <c r="H31" i="342"/>
  <c r="I31" i="342"/>
  <c r="H25" i="342"/>
  <c r="I25" i="342"/>
  <c r="D25" i="342"/>
  <c r="H23" i="342"/>
  <c r="I23" i="342"/>
  <c r="K23" i="342"/>
  <c r="L23" i="342" s="1"/>
  <c r="K20" i="342"/>
  <c r="L20" i="342" s="1"/>
  <c r="K27" i="342"/>
  <c r="L27" i="342" s="1"/>
  <c r="I27" i="342"/>
  <c r="D27" i="342"/>
  <c r="D20" i="342"/>
  <c r="H20" i="342"/>
  <c r="L22" i="176"/>
  <c r="L21" i="176"/>
  <c r="L22" i="621" l="1"/>
  <c r="L28" i="621"/>
  <c r="L31" i="621"/>
  <c r="L23" i="621"/>
  <c r="L24" i="621"/>
  <c r="L27" i="621"/>
  <c r="K24" i="634" l="1"/>
  <c r="I24" i="634"/>
  <c r="H24" i="634"/>
  <c r="D24" i="634"/>
  <c r="C26" i="486" l="1"/>
  <c r="D26" i="486" s="1"/>
  <c r="K31" i="441"/>
  <c r="L31" i="441" s="1"/>
  <c r="I31" i="441"/>
  <c r="H31" i="441"/>
  <c r="K30" i="441"/>
  <c r="L30" i="441" s="1"/>
  <c r="I30" i="441"/>
  <c r="H30" i="441"/>
  <c r="K35" i="441"/>
  <c r="L35" i="441" s="1"/>
  <c r="I35" i="441"/>
  <c r="H35" i="441"/>
  <c r="K23" i="441"/>
  <c r="L23" i="441" s="1"/>
  <c r="I23" i="441"/>
  <c r="H23" i="441"/>
  <c r="K22" i="441"/>
  <c r="L22" i="441" s="1"/>
  <c r="I22" i="441"/>
  <c r="H22" i="441"/>
  <c r="K32" i="441"/>
  <c r="L32" i="441" s="1"/>
  <c r="I32" i="441"/>
  <c r="H32" i="441"/>
  <c r="K27" i="441"/>
  <c r="L27" i="441" s="1"/>
  <c r="I27" i="441"/>
  <c r="H27" i="441"/>
  <c r="K20" i="441"/>
  <c r="L20" i="441" s="1"/>
  <c r="I20" i="441"/>
  <c r="H20" i="441"/>
  <c r="D31" i="441"/>
  <c r="D30" i="441"/>
  <c r="D35" i="441"/>
  <c r="D23" i="441"/>
  <c r="D22" i="441"/>
  <c r="D32" i="441"/>
  <c r="D27" i="441"/>
  <c r="D20" i="441"/>
  <c r="K20" i="81"/>
  <c r="I20" i="81"/>
  <c r="H20" i="81"/>
  <c r="C30" i="556"/>
  <c r="I30" i="556" s="1"/>
  <c r="C22" i="556"/>
  <c r="H22" i="556" s="1"/>
  <c r="C23" i="556"/>
  <c r="D23" i="556" s="1"/>
  <c r="C29" i="556"/>
  <c r="K29" i="556" s="1"/>
  <c r="L29" i="556" s="1"/>
  <c r="C24" i="556"/>
  <c r="D24" i="556" s="1"/>
  <c r="C21" i="556"/>
  <c r="C31" i="556"/>
  <c r="I31" i="556" s="1"/>
  <c r="C20" i="556"/>
  <c r="K20" i="556" s="1"/>
  <c r="L20" i="556" s="1"/>
  <c r="C19" i="556"/>
  <c r="C26" i="556"/>
  <c r="C27" i="556"/>
  <c r="C25" i="556"/>
  <c r="I25" i="556" s="1"/>
  <c r="K26" i="537"/>
  <c r="I26" i="537"/>
  <c r="H26" i="537"/>
  <c r="K22" i="537"/>
  <c r="I22" i="537"/>
  <c r="H22" i="537"/>
  <c r="K25" i="537"/>
  <c r="L25" i="537" s="1"/>
  <c r="I25" i="537"/>
  <c r="H25" i="537"/>
  <c r="D26" i="537"/>
  <c r="D22" i="537"/>
  <c r="D25" i="537"/>
  <c r="C19" i="603"/>
  <c r="D19" i="603" s="1"/>
  <c r="C22" i="603"/>
  <c r="D22" i="603" s="1"/>
  <c r="K39" i="72"/>
  <c r="L39" i="72" s="1"/>
  <c r="I39" i="72"/>
  <c r="H39" i="72"/>
  <c r="K38" i="72"/>
  <c r="L38" i="72" s="1"/>
  <c r="I38" i="72"/>
  <c r="H38" i="72"/>
  <c r="K37" i="72"/>
  <c r="L37" i="72" s="1"/>
  <c r="I37" i="72"/>
  <c r="H37" i="72"/>
  <c r="K36" i="72"/>
  <c r="L36" i="72" s="1"/>
  <c r="I36" i="72"/>
  <c r="H36" i="72"/>
  <c r="K35" i="72"/>
  <c r="L35" i="72" s="1"/>
  <c r="I35" i="72"/>
  <c r="H35" i="72"/>
  <c r="K33" i="72"/>
  <c r="L33" i="72" s="1"/>
  <c r="I33" i="72"/>
  <c r="H33" i="72"/>
  <c r="D39" i="72"/>
  <c r="D38" i="72"/>
  <c r="D37" i="72"/>
  <c r="D36" i="72"/>
  <c r="D35" i="72"/>
  <c r="D33" i="72"/>
  <c r="K23" i="49"/>
  <c r="L23" i="49" s="1"/>
  <c r="I23" i="49"/>
  <c r="H23" i="49"/>
  <c r="K19" i="49"/>
  <c r="L19" i="49" s="1"/>
  <c r="I19" i="49"/>
  <c r="H19" i="49"/>
  <c r="K28" i="49"/>
  <c r="L28" i="49" s="1"/>
  <c r="I28" i="49"/>
  <c r="H28" i="49"/>
  <c r="D23" i="49"/>
  <c r="D19" i="49"/>
  <c r="D28" i="49"/>
  <c r="K23" i="550"/>
  <c r="L23" i="550" s="1"/>
  <c r="I23" i="550"/>
  <c r="H23" i="550"/>
  <c r="K19" i="550"/>
  <c r="L19" i="550" s="1"/>
  <c r="I19" i="550"/>
  <c r="H19" i="550"/>
  <c r="K20" i="550"/>
  <c r="L20" i="550" s="1"/>
  <c r="I20" i="550"/>
  <c r="H20" i="550"/>
  <c r="K22" i="550"/>
  <c r="L22" i="550" s="1"/>
  <c r="I22" i="550"/>
  <c r="H22" i="550"/>
  <c r="D23" i="550"/>
  <c r="D19" i="550"/>
  <c r="D20" i="550"/>
  <c r="D22" i="550"/>
  <c r="K25" i="594"/>
  <c r="L25" i="594" s="1"/>
  <c r="I25" i="594"/>
  <c r="H25" i="594"/>
  <c r="K24" i="594"/>
  <c r="L24" i="594" s="1"/>
  <c r="I24" i="594"/>
  <c r="H24" i="594"/>
  <c r="D25" i="594"/>
  <c r="D24" i="594"/>
  <c r="K23" i="594"/>
  <c r="L23" i="594" s="1"/>
  <c r="I23" i="594"/>
  <c r="H23" i="594"/>
  <c r="K22" i="594"/>
  <c r="L22" i="594" s="1"/>
  <c r="I22" i="594"/>
  <c r="H22" i="594"/>
  <c r="K20" i="594"/>
  <c r="L20" i="594" s="1"/>
  <c r="I20" i="594"/>
  <c r="H20" i="594"/>
  <c r="K19" i="594"/>
  <c r="L19" i="594" s="1"/>
  <c r="I19" i="594"/>
  <c r="H19" i="594"/>
  <c r="D23" i="594"/>
  <c r="D22" i="594"/>
  <c r="D20" i="594"/>
  <c r="D19" i="594"/>
  <c r="K19" i="131"/>
  <c r="I19" i="131"/>
  <c r="H19" i="131"/>
  <c r="D19" i="131"/>
  <c r="C30" i="617"/>
  <c r="D30" i="617" s="1"/>
  <c r="C21" i="617"/>
  <c r="D21" i="617" s="1"/>
  <c r="C23" i="246"/>
  <c r="D23" i="246" s="1"/>
  <c r="C24" i="246"/>
  <c r="D24" i="246" s="1"/>
  <c r="C22" i="246"/>
  <c r="D22" i="246" s="1"/>
  <c r="C19" i="249"/>
  <c r="C18" i="249"/>
  <c r="C26" i="590"/>
  <c r="D26" i="590" s="1"/>
  <c r="C25" i="590"/>
  <c r="D25" i="590" s="1"/>
  <c r="C23" i="590"/>
  <c r="D23" i="590" s="1"/>
  <c r="C19" i="585"/>
  <c r="D19" i="585" s="1"/>
  <c r="C29" i="585"/>
  <c r="D29" i="585" s="1"/>
  <c r="C28" i="585"/>
  <c r="D28" i="585" s="1"/>
  <c r="C26" i="585"/>
  <c r="D26" i="585" s="1"/>
  <c r="C25" i="585"/>
  <c r="D25" i="585" s="1"/>
  <c r="C27" i="585"/>
  <c r="D27" i="585" s="1"/>
  <c r="K20" i="94"/>
  <c r="L20" i="94" s="1"/>
  <c r="I20" i="94"/>
  <c r="H20" i="94"/>
  <c r="K29" i="94"/>
  <c r="L29" i="94" s="1"/>
  <c r="I29" i="94"/>
  <c r="H29" i="94"/>
  <c r="K31" i="94"/>
  <c r="L31" i="94" s="1"/>
  <c r="I31" i="94"/>
  <c r="H31" i="94"/>
  <c r="K32" i="94"/>
  <c r="L32" i="94" s="1"/>
  <c r="I32" i="94"/>
  <c r="H32" i="94"/>
  <c r="K24" i="94"/>
  <c r="L24" i="94" s="1"/>
  <c r="I24" i="94"/>
  <c r="H24" i="94"/>
  <c r="K19" i="94"/>
  <c r="L19" i="94" s="1"/>
  <c r="I19" i="94"/>
  <c r="H19" i="94"/>
  <c r="K21" i="94"/>
  <c r="L21" i="94" s="1"/>
  <c r="I21" i="94"/>
  <c r="H21" i="94"/>
  <c r="K25" i="94"/>
  <c r="L25" i="94" s="1"/>
  <c r="I25" i="94"/>
  <c r="H25" i="94"/>
  <c r="K23" i="94"/>
  <c r="L23" i="94" s="1"/>
  <c r="I23" i="94"/>
  <c r="H23" i="94"/>
  <c r="K28" i="94"/>
  <c r="L28" i="94" s="1"/>
  <c r="I28" i="94"/>
  <c r="H28" i="94"/>
  <c r="K27" i="94"/>
  <c r="L27" i="94" s="1"/>
  <c r="I27" i="94"/>
  <c r="H27" i="94"/>
  <c r="K22" i="94"/>
  <c r="L22" i="94" s="1"/>
  <c r="I22" i="94"/>
  <c r="H22" i="94"/>
  <c r="K30" i="94"/>
  <c r="L30" i="94" s="1"/>
  <c r="I30" i="94"/>
  <c r="H30" i="94"/>
  <c r="K26" i="94"/>
  <c r="L26" i="94" s="1"/>
  <c r="I26" i="94"/>
  <c r="H26" i="94"/>
  <c r="D20" i="94"/>
  <c r="D29" i="94"/>
  <c r="D31" i="94"/>
  <c r="D32" i="94"/>
  <c r="D24" i="94"/>
  <c r="D19" i="94"/>
  <c r="D21" i="94"/>
  <c r="D25" i="94"/>
  <c r="D23" i="94"/>
  <c r="D28" i="94"/>
  <c r="D27" i="94"/>
  <c r="D22" i="94"/>
  <c r="D30" i="94"/>
  <c r="D26" i="94"/>
  <c r="C18" i="556"/>
  <c r="K20" i="387"/>
  <c r="L20" i="387" s="1"/>
  <c r="I20" i="387"/>
  <c r="H20" i="387"/>
  <c r="K19" i="387"/>
  <c r="L19" i="387" s="1"/>
  <c r="I19" i="387"/>
  <c r="H19" i="387"/>
  <c r="K27" i="387"/>
  <c r="L27" i="387" s="1"/>
  <c r="I27" i="387"/>
  <c r="H27" i="387"/>
  <c r="K22" i="387"/>
  <c r="L22" i="387" s="1"/>
  <c r="I22" i="387"/>
  <c r="H22" i="387"/>
  <c r="K25" i="387"/>
  <c r="L25" i="387" s="1"/>
  <c r="I25" i="387"/>
  <c r="H25" i="387"/>
  <c r="K24" i="387"/>
  <c r="L24" i="387" s="1"/>
  <c r="I24" i="387"/>
  <c r="H24" i="387"/>
  <c r="K23" i="387"/>
  <c r="L23" i="387" s="1"/>
  <c r="I23" i="387"/>
  <c r="H23" i="387"/>
  <c r="K26" i="387"/>
  <c r="L26" i="387" s="1"/>
  <c r="I26" i="387"/>
  <c r="H26" i="387"/>
  <c r="K21" i="387"/>
  <c r="L21" i="387" s="1"/>
  <c r="I21" i="387"/>
  <c r="H21" i="387"/>
  <c r="D20" i="387"/>
  <c r="D19" i="387"/>
  <c r="D27" i="387"/>
  <c r="D22" i="387"/>
  <c r="D25" i="387"/>
  <c r="D24" i="387"/>
  <c r="D23" i="387"/>
  <c r="D26" i="387"/>
  <c r="D21" i="387"/>
  <c r="K30" i="42"/>
  <c r="L30" i="42" s="1"/>
  <c r="I30" i="42"/>
  <c r="H30" i="42"/>
  <c r="D30" i="42"/>
  <c r="K31" i="380"/>
  <c r="I31" i="380"/>
  <c r="H31" i="380"/>
  <c r="K32" i="380"/>
  <c r="I32" i="380"/>
  <c r="H32" i="380"/>
  <c r="D31" i="380"/>
  <c r="D32" i="380"/>
  <c r="K26" i="380"/>
  <c r="I26" i="380"/>
  <c r="H26" i="380"/>
  <c r="K27" i="380"/>
  <c r="I27" i="380"/>
  <c r="H27" i="380"/>
  <c r="K22" i="380"/>
  <c r="L22" i="380" s="1"/>
  <c r="I22" i="380"/>
  <c r="H22" i="380"/>
  <c r="K20" i="380"/>
  <c r="L20" i="380" s="1"/>
  <c r="I20" i="380"/>
  <c r="H20" i="380"/>
  <c r="K29" i="380"/>
  <c r="I29" i="380"/>
  <c r="H29" i="380"/>
  <c r="K35" i="380"/>
  <c r="L35" i="380" s="1"/>
  <c r="I35" i="380"/>
  <c r="H35" i="380"/>
  <c r="K34" i="380"/>
  <c r="I34" i="380"/>
  <c r="H34" i="380"/>
  <c r="K33" i="380"/>
  <c r="I33" i="380"/>
  <c r="H33" i="380"/>
  <c r="K30" i="380"/>
  <c r="I30" i="380"/>
  <c r="H30" i="380"/>
  <c r="K19" i="380"/>
  <c r="I19" i="380"/>
  <c r="H19" i="380"/>
  <c r="K36" i="380"/>
  <c r="L36" i="380" s="1"/>
  <c r="I36" i="380"/>
  <c r="H36" i="380"/>
  <c r="K23" i="380"/>
  <c r="L23" i="380" s="1"/>
  <c r="I23" i="380"/>
  <c r="H23" i="380"/>
  <c r="K25" i="380"/>
  <c r="I25" i="380"/>
  <c r="H25" i="380"/>
  <c r="K24" i="380"/>
  <c r="L24" i="380" s="1"/>
  <c r="I24" i="380"/>
  <c r="H24" i="380"/>
  <c r="K21" i="380"/>
  <c r="I21" i="380"/>
  <c r="H21" i="380"/>
  <c r="K28" i="380"/>
  <c r="L28" i="380" s="1"/>
  <c r="I28" i="380"/>
  <c r="H28" i="380"/>
  <c r="D26" i="380"/>
  <c r="D27" i="380"/>
  <c r="D22" i="380"/>
  <c r="D20" i="380"/>
  <c r="D29" i="380"/>
  <c r="D35" i="380"/>
  <c r="D34" i="380"/>
  <c r="D33" i="380"/>
  <c r="D30" i="380"/>
  <c r="D19" i="380"/>
  <c r="D36" i="380"/>
  <c r="D23" i="380"/>
  <c r="D25" i="380"/>
  <c r="D24" i="380"/>
  <c r="D21" i="380"/>
  <c r="D28" i="380"/>
  <c r="K30" i="83"/>
  <c r="I30" i="83"/>
  <c r="H30" i="83"/>
  <c r="K33" i="83"/>
  <c r="I33" i="83"/>
  <c r="H33" i="83"/>
  <c r="K27" i="83"/>
  <c r="L27" i="83" s="1"/>
  <c r="I27" i="83"/>
  <c r="H27" i="83"/>
  <c r="D30" i="83"/>
  <c r="D33" i="83"/>
  <c r="D27" i="83"/>
  <c r="K34" i="96"/>
  <c r="L34" i="96" s="1"/>
  <c r="I34" i="96"/>
  <c r="H34" i="96"/>
  <c r="K33" i="96"/>
  <c r="L33" i="96" s="1"/>
  <c r="I33" i="96"/>
  <c r="H33" i="96"/>
  <c r="K28" i="96"/>
  <c r="L28" i="96" s="1"/>
  <c r="I28" i="96"/>
  <c r="H28" i="96"/>
  <c r="K22" i="96"/>
  <c r="L22" i="96" s="1"/>
  <c r="I22" i="96"/>
  <c r="H22" i="96"/>
  <c r="K23" i="96"/>
  <c r="L23" i="96" s="1"/>
  <c r="I23" i="96"/>
  <c r="H23" i="96"/>
  <c r="K21" i="96"/>
  <c r="L21" i="96" s="1"/>
  <c r="I21" i="96"/>
  <c r="H21" i="96"/>
  <c r="K26" i="96"/>
  <c r="L26" i="96" s="1"/>
  <c r="I26" i="96"/>
  <c r="H26" i="96"/>
  <c r="K29" i="96"/>
  <c r="L29" i="96" s="1"/>
  <c r="I29" i="96"/>
  <c r="H29" i="96"/>
  <c r="K32" i="96"/>
  <c r="L32" i="96" s="1"/>
  <c r="I32" i="96"/>
  <c r="H32" i="96"/>
  <c r="K20" i="96"/>
  <c r="L20" i="96" s="1"/>
  <c r="I20" i="96"/>
  <c r="H20" i="96"/>
  <c r="K19" i="96"/>
  <c r="L19" i="96" s="1"/>
  <c r="I19" i="96"/>
  <c r="H19" i="96"/>
  <c r="K31" i="96"/>
  <c r="L31" i="96" s="1"/>
  <c r="I31" i="96"/>
  <c r="H31" i="96"/>
  <c r="D34" i="96"/>
  <c r="D33" i="96"/>
  <c r="D28" i="96"/>
  <c r="D22" i="96"/>
  <c r="D23" i="96"/>
  <c r="D21" i="96"/>
  <c r="D26" i="96"/>
  <c r="D29" i="96"/>
  <c r="D32" i="96"/>
  <c r="D20" i="96"/>
  <c r="D19" i="96"/>
  <c r="D31" i="96"/>
  <c r="K19" i="236"/>
  <c r="L19" i="236" s="1"/>
  <c r="I19" i="236"/>
  <c r="H19" i="236"/>
  <c r="K21" i="236"/>
  <c r="L21" i="236" s="1"/>
  <c r="I21" i="236"/>
  <c r="H21" i="236"/>
  <c r="D19" i="236"/>
  <c r="D21" i="236"/>
  <c r="K20" i="236"/>
  <c r="L20" i="236" s="1"/>
  <c r="I20" i="236"/>
  <c r="H20" i="236"/>
  <c r="D20" i="236"/>
  <c r="K20" i="273"/>
  <c r="L20" i="273" s="1"/>
  <c r="I20" i="273"/>
  <c r="H20" i="273"/>
  <c r="D20" i="273"/>
  <c r="K28" i="41"/>
  <c r="I28" i="41"/>
  <c r="H28" i="41"/>
  <c r="K22" i="41"/>
  <c r="L22" i="41" s="1"/>
  <c r="I22" i="41"/>
  <c r="H22" i="41"/>
  <c r="K27" i="41"/>
  <c r="L27" i="41" s="1"/>
  <c r="I27" i="41"/>
  <c r="H27" i="41"/>
  <c r="K26" i="41"/>
  <c r="I26" i="41"/>
  <c r="H26" i="41"/>
  <c r="D28" i="41"/>
  <c r="D22" i="41"/>
  <c r="D27" i="41"/>
  <c r="D26" i="41"/>
  <c r="H26" i="486" l="1"/>
  <c r="I26" i="486"/>
  <c r="K26" i="486"/>
  <c r="L26" i="486" s="1"/>
  <c r="L20" i="81"/>
  <c r="D30" i="556"/>
  <c r="H30" i="556"/>
  <c r="K30" i="556"/>
  <c r="L30" i="556" s="1"/>
  <c r="D22" i="556"/>
  <c r="I22" i="556"/>
  <c r="K22" i="556"/>
  <c r="L22" i="556" s="1"/>
  <c r="I23" i="556"/>
  <c r="H23" i="556"/>
  <c r="K23" i="556"/>
  <c r="L23" i="556" s="1"/>
  <c r="D29" i="556"/>
  <c r="H29" i="556"/>
  <c r="I29" i="556"/>
  <c r="H24" i="556"/>
  <c r="I24" i="556"/>
  <c r="K24" i="556"/>
  <c r="L24" i="556" s="1"/>
  <c r="L22" i="537"/>
  <c r="L26" i="537"/>
  <c r="H22" i="603"/>
  <c r="I22" i="603"/>
  <c r="K22" i="603"/>
  <c r="L22" i="603" s="1"/>
  <c r="H19" i="603"/>
  <c r="I19" i="603"/>
  <c r="K19" i="603"/>
  <c r="L19" i="603" s="1"/>
  <c r="L19" i="131"/>
  <c r="H30" i="617"/>
  <c r="I30" i="617"/>
  <c r="K30" i="617"/>
  <c r="L30" i="617" s="1"/>
  <c r="K21" i="617"/>
  <c r="H21" i="617"/>
  <c r="I21" i="617"/>
  <c r="I22" i="246"/>
  <c r="K22" i="246"/>
  <c r="L22" i="246" s="1"/>
  <c r="H24" i="246"/>
  <c r="I24" i="246"/>
  <c r="K24" i="246"/>
  <c r="L24" i="246" s="1"/>
  <c r="H23" i="246"/>
  <c r="I23" i="246"/>
  <c r="H22" i="246"/>
  <c r="K23" i="246"/>
  <c r="L23" i="246" s="1"/>
  <c r="H26" i="590"/>
  <c r="I26" i="590"/>
  <c r="K26" i="590"/>
  <c r="K25" i="590"/>
  <c r="L25" i="590" s="1"/>
  <c r="I25" i="590"/>
  <c r="H25" i="590"/>
  <c r="I23" i="590"/>
  <c r="H23" i="590"/>
  <c r="K23" i="590"/>
  <c r="L23" i="590" s="1"/>
  <c r="K26" i="585"/>
  <c r="L26" i="585" s="1"/>
  <c r="I27" i="585"/>
  <c r="K25" i="585"/>
  <c r="L25" i="585" s="1"/>
  <c r="H26" i="585"/>
  <c r="I29" i="585"/>
  <c r="H29" i="585"/>
  <c r="H27" i="585"/>
  <c r="I26" i="585"/>
  <c r="K29" i="585"/>
  <c r="L29" i="585" s="1"/>
  <c r="H19" i="585"/>
  <c r="K27" i="585"/>
  <c r="L27" i="585" s="1"/>
  <c r="H28" i="585"/>
  <c r="I19" i="585"/>
  <c r="H25" i="585"/>
  <c r="I28" i="585"/>
  <c r="K19" i="585"/>
  <c r="L19" i="585" s="1"/>
  <c r="I25" i="585"/>
  <c r="K28" i="585"/>
  <c r="L28" i="585" s="1"/>
  <c r="K31" i="556"/>
  <c r="L31" i="556" s="1"/>
  <c r="D31" i="556"/>
  <c r="H31" i="556"/>
  <c r="D20" i="556"/>
  <c r="H20" i="556"/>
  <c r="I20" i="556"/>
  <c r="H25" i="556"/>
  <c r="K25" i="556"/>
  <c r="L25" i="556" s="1"/>
  <c r="D25" i="556"/>
  <c r="L29" i="380"/>
  <c r="L19" i="380"/>
  <c r="L31" i="380"/>
  <c r="L32" i="380"/>
  <c r="L27" i="380"/>
  <c r="L33" i="380"/>
  <c r="L25" i="380"/>
  <c r="L21" i="380"/>
  <c r="L34" i="380"/>
  <c r="L30" i="380"/>
  <c r="L26" i="380"/>
  <c r="L33" i="83"/>
  <c r="L30" i="83"/>
  <c r="L28" i="41"/>
  <c r="L26" i="41"/>
  <c r="C22" i="620"/>
  <c r="C21" i="620"/>
  <c r="C20" i="620"/>
  <c r="L21" i="617" l="1"/>
  <c r="L26" i="590"/>
  <c r="K40" i="330"/>
  <c r="I40" i="330"/>
  <c r="H40" i="330"/>
  <c r="D40" i="330"/>
  <c r="C28" i="617"/>
  <c r="D28" i="617" s="1"/>
  <c r="C31" i="617"/>
  <c r="D31" i="617" s="1"/>
  <c r="C24" i="617"/>
  <c r="D24" i="617" s="1"/>
  <c r="C29" i="617"/>
  <c r="D29" i="617" s="1"/>
  <c r="C22" i="617"/>
  <c r="C34" i="617"/>
  <c r="C23" i="617"/>
  <c r="C25" i="617"/>
  <c r="C27" i="617"/>
  <c r="C26" i="617"/>
  <c r="C19" i="617"/>
  <c r="C32" i="617"/>
  <c r="C20" i="617"/>
  <c r="C21" i="246"/>
  <c r="C25" i="246"/>
  <c r="C20" i="246"/>
  <c r="C19" i="246"/>
  <c r="C18" i="246"/>
  <c r="K23" i="145"/>
  <c r="I23" i="145"/>
  <c r="H23" i="145"/>
  <c r="D23" i="145"/>
  <c r="C20" i="621"/>
  <c r="C26" i="621"/>
  <c r="C18" i="621"/>
  <c r="K30" i="330"/>
  <c r="I30" i="330"/>
  <c r="H30" i="330"/>
  <c r="K33" i="330"/>
  <c r="I33" i="330"/>
  <c r="H33" i="330"/>
  <c r="K39" i="330"/>
  <c r="L39" i="330" s="1"/>
  <c r="I39" i="330"/>
  <c r="H39" i="330"/>
  <c r="K38" i="330"/>
  <c r="L38" i="330" s="1"/>
  <c r="I38" i="330"/>
  <c r="H38" i="330"/>
  <c r="K37" i="330"/>
  <c r="L37" i="330" s="1"/>
  <c r="I37" i="330"/>
  <c r="H37" i="330"/>
  <c r="K22" i="330"/>
  <c r="I22" i="330"/>
  <c r="H22" i="330"/>
  <c r="K28" i="330"/>
  <c r="I28" i="330"/>
  <c r="H28" i="330"/>
  <c r="D30" i="330"/>
  <c r="D33" i="330"/>
  <c r="D39" i="330"/>
  <c r="D38" i="330"/>
  <c r="D37" i="330"/>
  <c r="D22" i="330"/>
  <c r="D28" i="330"/>
  <c r="L40" i="330" l="1"/>
  <c r="K28" i="617"/>
  <c r="L28" i="617" s="1"/>
  <c r="I28" i="617"/>
  <c r="H28" i="617"/>
  <c r="H31" i="617"/>
  <c r="K31" i="617"/>
  <c r="L31" i="617" s="1"/>
  <c r="I31" i="617"/>
  <c r="H24" i="617"/>
  <c r="K24" i="617"/>
  <c r="L24" i="617" s="1"/>
  <c r="I24" i="617"/>
  <c r="K29" i="617"/>
  <c r="I29" i="617"/>
  <c r="H29" i="617"/>
  <c r="L23" i="145"/>
  <c r="L33" i="330"/>
  <c r="L22" i="330"/>
  <c r="L28" i="330"/>
  <c r="L30" i="330"/>
  <c r="K20" i="70"/>
  <c r="I20" i="70"/>
  <c r="H20" i="70"/>
  <c r="D20" i="70"/>
  <c r="K24" i="583"/>
  <c r="L24" i="583" s="1"/>
  <c r="I24" i="583"/>
  <c r="H24" i="583"/>
  <c r="K20" i="583"/>
  <c r="L20" i="583" s="1"/>
  <c r="I20" i="583"/>
  <c r="H20" i="583"/>
  <c r="D24" i="583"/>
  <c r="D20" i="583"/>
  <c r="K19" i="588"/>
  <c r="I19" i="588"/>
  <c r="H19" i="588"/>
  <c r="K21" i="588"/>
  <c r="I21" i="588"/>
  <c r="H21" i="588"/>
  <c r="D19" i="588"/>
  <c r="D21" i="588"/>
  <c r="L29" i="617" l="1"/>
  <c r="L20" i="70"/>
  <c r="L19" i="588"/>
  <c r="L21" i="588"/>
  <c r="K19" i="102" l="1"/>
  <c r="L19" i="102" s="1"/>
  <c r="I19" i="102"/>
  <c r="H19" i="102"/>
  <c r="D19" i="102"/>
  <c r="C18" i="617" l="1"/>
  <c r="K19" i="287"/>
  <c r="L19" i="287" s="1"/>
  <c r="I19" i="287"/>
  <c r="H19" i="287"/>
  <c r="D19" i="287"/>
  <c r="K20" i="339"/>
  <c r="L20" i="339" s="1"/>
  <c r="I20" i="339"/>
  <c r="H20" i="339"/>
  <c r="K24" i="339"/>
  <c r="L24" i="339" s="1"/>
  <c r="I24" i="339"/>
  <c r="H24" i="339"/>
  <c r="K22" i="339"/>
  <c r="L22" i="339" s="1"/>
  <c r="I22" i="339"/>
  <c r="H22" i="339"/>
  <c r="D20" i="339"/>
  <c r="D24" i="339"/>
  <c r="D22" i="339"/>
  <c r="C25" i="329" l="1"/>
  <c r="D25" i="329" s="1"/>
  <c r="K25" i="329" l="1"/>
  <c r="L25" i="329" s="1"/>
  <c r="I25" i="329"/>
  <c r="H25" i="329"/>
  <c r="K20" i="53" l="1"/>
  <c r="L20" i="53" s="1"/>
  <c r="I20" i="53"/>
  <c r="H20" i="53"/>
  <c r="K19" i="53"/>
  <c r="L19" i="53" s="1"/>
  <c r="I19" i="53"/>
  <c r="H19" i="53"/>
  <c r="D20" i="53"/>
  <c r="D19" i="53"/>
  <c r="K20" i="400"/>
  <c r="L20" i="400" s="1"/>
  <c r="I20" i="400"/>
  <c r="H20" i="400"/>
  <c r="K22" i="400"/>
  <c r="L22" i="400" s="1"/>
  <c r="I22" i="400"/>
  <c r="H22" i="400"/>
  <c r="D20" i="400"/>
  <c r="D22" i="400"/>
  <c r="I23" i="278"/>
  <c r="H23" i="278"/>
  <c r="D23" i="278"/>
  <c r="K22" i="278"/>
  <c r="L22" i="278" s="1"/>
  <c r="I22" i="278"/>
  <c r="H22" i="278"/>
  <c r="D22" i="278"/>
  <c r="K21" i="342" l="1"/>
  <c r="L21" i="342" s="1"/>
  <c r="I21" i="342"/>
  <c r="H21" i="342"/>
  <c r="K29" i="342"/>
  <c r="L29" i="342" s="1"/>
  <c r="I29" i="342"/>
  <c r="H29" i="342"/>
  <c r="K24" i="342"/>
  <c r="L24" i="342" s="1"/>
  <c r="I24" i="342"/>
  <c r="H24" i="342"/>
  <c r="K26" i="342"/>
  <c r="L26" i="342" s="1"/>
  <c r="I26" i="342"/>
  <c r="H26" i="342"/>
  <c r="K22" i="342"/>
  <c r="L22" i="342" s="1"/>
  <c r="I22" i="342"/>
  <c r="H22" i="342"/>
  <c r="K19" i="342"/>
  <c r="L19" i="342" s="1"/>
  <c r="I19" i="342"/>
  <c r="H19" i="342"/>
  <c r="D21" i="342"/>
  <c r="D29" i="342"/>
  <c r="D24" i="342"/>
  <c r="D26" i="342"/>
  <c r="D22" i="342"/>
  <c r="D19" i="342"/>
  <c r="K26" i="52"/>
  <c r="L26" i="52" s="1"/>
  <c r="I26" i="52"/>
  <c r="H26" i="52"/>
  <c r="K25" i="52"/>
  <c r="L25" i="52" s="1"/>
  <c r="I25" i="52"/>
  <c r="H25" i="52"/>
  <c r="D26" i="52"/>
  <c r="D25" i="52"/>
  <c r="K21" i="441" l="1"/>
  <c r="L21" i="441" s="1"/>
  <c r="I21" i="441"/>
  <c r="H21" i="441"/>
  <c r="K26" i="441"/>
  <c r="L26" i="441" s="1"/>
  <c r="I26" i="441"/>
  <c r="H26" i="441"/>
  <c r="K24" i="441"/>
  <c r="L24" i="441" s="1"/>
  <c r="I24" i="441"/>
  <c r="H24" i="441"/>
  <c r="D21" i="441"/>
  <c r="D26" i="441"/>
  <c r="D24" i="441"/>
  <c r="C19" i="579"/>
  <c r="D19" i="579" s="1"/>
  <c r="C24" i="579"/>
  <c r="D24" i="579" s="1"/>
  <c r="C26" i="579"/>
  <c r="D26" i="579" s="1"/>
  <c r="C21" i="590"/>
  <c r="D21" i="590" s="1"/>
  <c r="K21" i="42"/>
  <c r="L21" i="42" s="1"/>
  <c r="I21" i="42"/>
  <c r="H21" i="42"/>
  <c r="K28" i="42"/>
  <c r="L28" i="42" s="1"/>
  <c r="I28" i="42"/>
  <c r="H28" i="42"/>
  <c r="K29" i="42"/>
  <c r="L29" i="42" s="1"/>
  <c r="I29" i="42"/>
  <c r="H29" i="42"/>
  <c r="K27" i="42"/>
  <c r="L27" i="42" s="1"/>
  <c r="I27" i="42"/>
  <c r="H27" i="42"/>
  <c r="K25" i="42"/>
  <c r="L25" i="42" s="1"/>
  <c r="I25" i="42"/>
  <c r="H25" i="42"/>
  <c r="K26" i="42"/>
  <c r="L26" i="42" s="1"/>
  <c r="I26" i="42"/>
  <c r="H26" i="42"/>
  <c r="K24" i="42"/>
  <c r="L24" i="42" s="1"/>
  <c r="I24" i="42"/>
  <c r="H24" i="42"/>
  <c r="K23" i="42"/>
  <c r="L23" i="42" s="1"/>
  <c r="I23" i="42"/>
  <c r="H23" i="42"/>
  <c r="K22" i="42"/>
  <c r="L22" i="42" s="1"/>
  <c r="I22" i="42"/>
  <c r="H22" i="42"/>
  <c r="D21" i="42"/>
  <c r="D28" i="42"/>
  <c r="D29" i="42"/>
  <c r="D27" i="42"/>
  <c r="D25" i="42"/>
  <c r="D26" i="42"/>
  <c r="D24" i="42"/>
  <c r="D23" i="42"/>
  <c r="D22" i="42"/>
  <c r="I20" i="136"/>
  <c r="H20" i="136"/>
  <c r="D20" i="136"/>
  <c r="K21" i="120"/>
  <c r="L21" i="120" s="1"/>
  <c r="I21" i="120"/>
  <c r="H21" i="120"/>
  <c r="D21" i="120"/>
  <c r="I19" i="321"/>
  <c r="H19" i="321"/>
  <c r="D19" i="321"/>
  <c r="K19" i="388"/>
  <c r="L19" i="388" s="1"/>
  <c r="I19" i="388"/>
  <c r="H19" i="388"/>
  <c r="D19" i="388"/>
  <c r="K21" i="550"/>
  <c r="L21" i="550" s="1"/>
  <c r="I21" i="550"/>
  <c r="H21" i="550"/>
  <c r="D21" i="550"/>
  <c r="K19" i="599"/>
  <c r="L19" i="599" s="1"/>
  <c r="I19" i="599"/>
  <c r="H19" i="599"/>
  <c r="D19" i="599"/>
  <c r="K19" i="77"/>
  <c r="L19" i="77" s="1"/>
  <c r="I19" i="77"/>
  <c r="H19" i="77"/>
  <c r="D19" i="77"/>
  <c r="K20" i="76"/>
  <c r="L20" i="76" s="1"/>
  <c r="I20" i="76"/>
  <c r="H20" i="76"/>
  <c r="D20" i="76"/>
  <c r="K19" i="50"/>
  <c r="L19" i="50" s="1"/>
  <c r="I19" i="50"/>
  <c r="H19" i="50"/>
  <c r="D19" i="50"/>
  <c r="K19" i="579" l="1"/>
  <c r="L19" i="579" s="1"/>
  <c r="I19" i="579"/>
  <c r="H19" i="579"/>
  <c r="H24" i="579"/>
  <c r="I24" i="579"/>
  <c r="K24" i="579"/>
  <c r="L24" i="579" s="1"/>
  <c r="H26" i="579"/>
  <c r="I26" i="579"/>
  <c r="K26" i="579"/>
  <c r="L26" i="579" s="1"/>
  <c r="I21" i="590"/>
  <c r="H21" i="590"/>
  <c r="K21" i="590"/>
  <c r="K20" i="293"/>
  <c r="I20" i="293"/>
  <c r="H20" i="293"/>
  <c r="D20" i="293"/>
  <c r="K34" i="44"/>
  <c r="I34" i="44"/>
  <c r="H34" i="44"/>
  <c r="D34" i="44"/>
  <c r="K19" i="636"/>
  <c r="L19" i="636" s="1"/>
  <c r="K21" i="636"/>
  <c r="L21" i="636" s="1"/>
  <c r="K18" i="636"/>
  <c r="L18" i="636" s="1"/>
  <c r="DA50" i="7"/>
  <c r="I19" i="636"/>
  <c r="H19" i="636"/>
  <c r="D19" i="636"/>
  <c r="K32" i="636"/>
  <c r="I21" i="636"/>
  <c r="H21" i="636"/>
  <c r="D21" i="636"/>
  <c r="I18" i="636"/>
  <c r="H18" i="636"/>
  <c r="D18" i="636"/>
  <c r="F11" i="636"/>
  <c r="L21" i="590" l="1"/>
  <c r="L20" i="293"/>
  <c r="L34" i="44"/>
  <c r="L29" i="636"/>
  <c r="L30" i="636" s="1"/>
  <c r="L31" i="636" s="1"/>
  <c r="L32" i="636" l="1"/>
  <c r="L33" i="636" s="1"/>
  <c r="K20" i="42" l="1"/>
  <c r="L20" i="42" s="1"/>
  <c r="I20" i="42"/>
  <c r="H20" i="42"/>
  <c r="D20" i="42"/>
  <c r="K19" i="273"/>
  <c r="L19" i="273" s="1"/>
  <c r="I19" i="273"/>
  <c r="H19" i="273"/>
  <c r="D19" i="273"/>
  <c r="K22" i="102"/>
  <c r="L22" i="102" s="1"/>
  <c r="I22" i="102"/>
  <c r="H22" i="102"/>
  <c r="D22" i="102"/>
  <c r="K21" i="102"/>
  <c r="L21" i="102" s="1"/>
  <c r="I21" i="102"/>
  <c r="H21" i="102"/>
  <c r="K23" i="102"/>
  <c r="L23" i="102" s="1"/>
  <c r="I23" i="102"/>
  <c r="H23" i="102"/>
  <c r="D21" i="102"/>
  <c r="D23" i="102"/>
  <c r="K19" i="625" l="1"/>
  <c r="L19" i="625" s="1"/>
  <c r="I19" i="625"/>
  <c r="H19" i="625"/>
  <c r="D19" i="625"/>
  <c r="K20" i="49"/>
  <c r="L20" i="49" s="1"/>
  <c r="I20" i="49"/>
  <c r="H20" i="49"/>
  <c r="D20" i="49"/>
  <c r="I23" i="136"/>
  <c r="H23" i="136"/>
  <c r="I24" i="136"/>
  <c r="H24" i="136"/>
  <c r="D23" i="136"/>
  <c r="D24" i="136"/>
  <c r="D19" i="294"/>
  <c r="K27" i="96"/>
  <c r="L27" i="96" s="1"/>
  <c r="I27" i="96"/>
  <c r="H27" i="96"/>
  <c r="D27" i="96"/>
  <c r="D38" i="96"/>
  <c r="D29" i="52"/>
  <c r="K28" i="441"/>
  <c r="L28" i="441" s="1"/>
  <c r="I28" i="441"/>
  <c r="H28" i="441"/>
  <c r="D28" i="441"/>
  <c r="K20" i="83"/>
  <c r="I20" i="83"/>
  <c r="H20" i="83"/>
  <c r="K31" i="83"/>
  <c r="I31" i="83"/>
  <c r="H31" i="83"/>
  <c r="K25" i="83"/>
  <c r="L25" i="83" s="1"/>
  <c r="I25" i="83"/>
  <c r="H25" i="83"/>
  <c r="K21" i="83"/>
  <c r="L21" i="83" s="1"/>
  <c r="I21" i="83"/>
  <c r="H21" i="83"/>
  <c r="K23" i="83"/>
  <c r="I23" i="83"/>
  <c r="H23" i="83"/>
  <c r="K32" i="83"/>
  <c r="I32" i="83"/>
  <c r="H32" i="83"/>
  <c r="K29" i="83"/>
  <c r="L29" i="83" s="1"/>
  <c r="I29" i="83"/>
  <c r="H29" i="83"/>
  <c r="K24" i="83"/>
  <c r="L24" i="83" s="1"/>
  <c r="I24" i="83"/>
  <c r="H24" i="83"/>
  <c r="K28" i="83"/>
  <c r="I28" i="83"/>
  <c r="H28" i="83"/>
  <c r="K26" i="83"/>
  <c r="I26" i="83"/>
  <c r="H26" i="83"/>
  <c r="K22" i="83"/>
  <c r="L22" i="83" s="1"/>
  <c r="I22" i="83"/>
  <c r="H22" i="83"/>
  <c r="K19" i="83"/>
  <c r="L19" i="83" s="1"/>
  <c r="I19" i="83"/>
  <c r="H19" i="83"/>
  <c r="D20" i="83"/>
  <c r="D31" i="83"/>
  <c r="D25" i="83"/>
  <c r="D21" i="83"/>
  <c r="D23" i="83"/>
  <c r="D32" i="83"/>
  <c r="D29" i="83"/>
  <c r="D24" i="83"/>
  <c r="D28" i="83"/>
  <c r="D26" i="83"/>
  <c r="D22" i="83"/>
  <c r="D19" i="83"/>
  <c r="D21" i="339"/>
  <c r="D23" i="339"/>
  <c r="K21" i="339"/>
  <c r="L21" i="339" s="1"/>
  <c r="I21" i="339"/>
  <c r="H21" i="339"/>
  <c r="K23" i="339"/>
  <c r="L23" i="339" s="1"/>
  <c r="I23" i="339"/>
  <c r="H23" i="339"/>
  <c r="K19" i="339"/>
  <c r="L19" i="339" s="1"/>
  <c r="I19" i="339"/>
  <c r="H19" i="339"/>
  <c r="D19" i="339"/>
  <c r="K19" i="249"/>
  <c r="L19" i="249" s="1"/>
  <c r="I19" i="249"/>
  <c r="H19" i="249"/>
  <c r="D19" i="249"/>
  <c r="K24" i="581"/>
  <c r="L24" i="581" s="1"/>
  <c r="I24" i="581"/>
  <c r="H24" i="581"/>
  <c r="K26" i="581"/>
  <c r="L26" i="581" s="1"/>
  <c r="I26" i="581"/>
  <c r="H26" i="581"/>
  <c r="K23" i="581"/>
  <c r="L23" i="581" s="1"/>
  <c r="I23" i="581"/>
  <c r="H23" i="581"/>
  <c r="K22" i="581"/>
  <c r="L22" i="581" s="1"/>
  <c r="I22" i="581"/>
  <c r="H22" i="581"/>
  <c r="K21" i="581"/>
  <c r="L21" i="581" s="1"/>
  <c r="I21" i="581"/>
  <c r="H21" i="581"/>
  <c r="D24" i="581"/>
  <c r="D26" i="581"/>
  <c r="D23" i="581"/>
  <c r="D22" i="581"/>
  <c r="D21" i="581"/>
  <c r="K27" i="75"/>
  <c r="L27" i="75" s="1"/>
  <c r="I27" i="75"/>
  <c r="H27" i="75"/>
  <c r="D27" i="75"/>
  <c r="L28" i="83" l="1"/>
  <c r="L23" i="83"/>
  <c r="L31" i="83"/>
  <c r="L32" i="83"/>
  <c r="L20" i="83"/>
  <c r="L26" i="83"/>
  <c r="K40" i="219" l="1"/>
  <c r="I40" i="219"/>
  <c r="H40" i="219"/>
  <c r="K39" i="219"/>
  <c r="L39" i="219" s="1"/>
  <c r="I39" i="219"/>
  <c r="H39" i="219"/>
  <c r="K37" i="219"/>
  <c r="L37" i="219" s="1"/>
  <c r="I37" i="219"/>
  <c r="H37" i="219"/>
  <c r="K36" i="219"/>
  <c r="L36" i="219" s="1"/>
  <c r="I36" i="219"/>
  <c r="H36" i="219"/>
  <c r="D40" i="219"/>
  <c r="D39" i="219"/>
  <c r="D37" i="219"/>
  <c r="D36" i="219"/>
  <c r="L40" i="219" l="1"/>
  <c r="K30" i="49"/>
  <c r="L30" i="49" s="1"/>
  <c r="I30" i="49"/>
  <c r="H30" i="49"/>
  <c r="D30" i="49"/>
  <c r="K19" i="277"/>
  <c r="L19" i="277" s="1"/>
  <c r="I19" i="277"/>
  <c r="H19" i="277"/>
  <c r="D19" i="277"/>
  <c r="K34" i="72"/>
  <c r="L34" i="72" s="1"/>
  <c r="I34" i="72"/>
  <c r="H34" i="72"/>
  <c r="D34" i="72"/>
  <c r="K31" i="72"/>
  <c r="L31" i="72" s="1"/>
  <c r="I31" i="72"/>
  <c r="H31" i="72"/>
  <c r="K32" i="72"/>
  <c r="L32" i="72" s="1"/>
  <c r="I32" i="72"/>
  <c r="H32" i="72"/>
  <c r="K30" i="72"/>
  <c r="L30" i="72" s="1"/>
  <c r="I30" i="72"/>
  <c r="H30" i="72"/>
  <c r="K28" i="72"/>
  <c r="L28" i="72" s="1"/>
  <c r="I28" i="72"/>
  <c r="H28" i="72"/>
  <c r="K29" i="72"/>
  <c r="L29" i="72" s="1"/>
  <c r="I29" i="72"/>
  <c r="H29" i="72"/>
  <c r="K27" i="72"/>
  <c r="L27" i="72" s="1"/>
  <c r="I27" i="72"/>
  <c r="H27" i="72"/>
  <c r="K26" i="72"/>
  <c r="L26" i="72" s="1"/>
  <c r="I26" i="72"/>
  <c r="H26" i="72"/>
  <c r="K25" i="72"/>
  <c r="L25" i="72" s="1"/>
  <c r="I25" i="72"/>
  <c r="H25" i="72"/>
  <c r="I24" i="72"/>
  <c r="H24" i="72"/>
  <c r="I23" i="72"/>
  <c r="H23" i="72"/>
  <c r="I22" i="72"/>
  <c r="H22" i="72"/>
  <c r="I21" i="72"/>
  <c r="H21" i="72"/>
  <c r="K20" i="72"/>
  <c r="L20" i="72" s="1"/>
  <c r="I20" i="72"/>
  <c r="H20" i="72"/>
  <c r="K19" i="72"/>
  <c r="L19" i="72" s="1"/>
  <c r="I19" i="72"/>
  <c r="H19" i="72"/>
  <c r="H18" i="72"/>
  <c r="D31" i="72"/>
  <c r="D32" i="72"/>
  <c r="D30" i="72"/>
  <c r="D28" i="72"/>
  <c r="D29" i="72"/>
  <c r="D27" i="72"/>
  <c r="D26" i="72"/>
  <c r="D25" i="72"/>
  <c r="D24" i="72"/>
  <c r="D23" i="72"/>
  <c r="D22" i="72"/>
  <c r="D21" i="72"/>
  <c r="D20" i="72"/>
  <c r="D19" i="72"/>
  <c r="K21" i="399"/>
  <c r="L21" i="399" s="1"/>
  <c r="I21" i="399"/>
  <c r="H21" i="399"/>
  <c r="D21" i="399"/>
  <c r="C30" i="486"/>
  <c r="D30" i="486" s="1"/>
  <c r="C20" i="486"/>
  <c r="D20" i="486" s="1"/>
  <c r="C25" i="486"/>
  <c r="D25" i="486" s="1"/>
  <c r="K20" i="270"/>
  <c r="L20" i="270" s="1"/>
  <c r="I20" i="270"/>
  <c r="H20" i="270"/>
  <c r="K19" i="270"/>
  <c r="L19" i="270" s="1"/>
  <c r="I19" i="270"/>
  <c r="H19" i="270"/>
  <c r="D20" i="270"/>
  <c r="D19" i="270"/>
  <c r="D26" i="621"/>
  <c r="D20" i="621"/>
  <c r="C25" i="579"/>
  <c r="D25" i="579" s="1"/>
  <c r="C28" i="366"/>
  <c r="D28" i="366" s="1"/>
  <c r="C20" i="366"/>
  <c r="D20" i="366" s="1"/>
  <c r="K25" i="583"/>
  <c r="L25" i="583" s="1"/>
  <c r="I25" i="583"/>
  <c r="H25" i="583"/>
  <c r="K19" i="583"/>
  <c r="L19" i="583" s="1"/>
  <c r="I19" i="583"/>
  <c r="H19" i="583"/>
  <c r="D25" i="583"/>
  <c r="D19" i="583"/>
  <c r="K20" i="278"/>
  <c r="L20" i="278" s="1"/>
  <c r="I20" i="278"/>
  <c r="H20" i="278"/>
  <c r="D20" i="278"/>
  <c r="H30" i="486" l="1"/>
  <c r="I30" i="486"/>
  <c r="K30" i="486"/>
  <c r="L30" i="486" s="1"/>
  <c r="H20" i="486"/>
  <c r="I20" i="486"/>
  <c r="K20" i="486"/>
  <c r="L20" i="486" s="1"/>
  <c r="I25" i="486"/>
  <c r="K25" i="486"/>
  <c r="L25" i="486" s="1"/>
  <c r="H25" i="486"/>
  <c r="H20" i="621"/>
  <c r="I26" i="621"/>
  <c r="K26" i="621"/>
  <c r="I20" i="621"/>
  <c r="K20" i="621"/>
  <c r="H26" i="621"/>
  <c r="I28" i="366"/>
  <c r="K25" i="579"/>
  <c r="L25" i="579" s="1"/>
  <c r="H25" i="579"/>
  <c r="I25" i="579"/>
  <c r="H20" i="366"/>
  <c r="H28" i="366"/>
  <c r="K20" i="366"/>
  <c r="L20" i="366" s="1"/>
  <c r="K28" i="366"/>
  <c r="I20" i="366"/>
  <c r="K19" i="278"/>
  <c r="L19" i="278" s="1"/>
  <c r="I19" i="278"/>
  <c r="H19" i="278"/>
  <c r="D19" i="278"/>
  <c r="K28" i="556"/>
  <c r="L28" i="556" s="1"/>
  <c r="I28" i="556"/>
  <c r="H28" i="556"/>
  <c r="D28" i="556"/>
  <c r="I30" i="204"/>
  <c r="H30" i="204"/>
  <c r="D30" i="204"/>
  <c r="C26" i="329"/>
  <c r="D26" i="329" s="1"/>
  <c r="C20" i="329"/>
  <c r="D20" i="329" s="1"/>
  <c r="L26" i="621" l="1"/>
  <c r="L20" i="621"/>
  <c r="L28" i="366"/>
  <c r="K26" i="329"/>
  <c r="L26" i="329" s="1"/>
  <c r="I26" i="329"/>
  <c r="H26" i="329"/>
  <c r="I20" i="329"/>
  <c r="K20" i="329"/>
  <c r="L20" i="329" s="1"/>
  <c r="H20" i="329"/>
  <c r="K24" i="96" l="1"/>
  <c r="L24" i="96" s="1"/>
  <c r="I24" i="96"/>
  <c r="H24" i="96"/>
  <c r="D24" i="96"/>
  <c r="C21" i="585"/>
  <c r="D21" i="585" s="1"/>
  <c r="C20" i="585"/>
  <c r="D20" i="585" s="1"/>
  <c r="H21" i="585" l="1"/>
  <c r="K21" i="585"/>
  <c r="L21" i="585" s="1"/>
  <c r="I21" i="585"/>
  <c r="I20" i="585"/>
  <c r="K20" i="585"/>
  <c r="L20" i="585" s="1"/>
  <c r="H20" i="585"/>
  <c r="C19" i="589" l="1"/>
  <c r="D19" i="589" s="1"/>
  <c r="C20" i="589"/>
  <c r="D20" i="589" s="1"/>
  <c r="C25" i="589"/>
  <c r="D25" i="589" s="1"/>
  <c r="K26" i="44"/>
  <c r="I26" i="44"/>
  <c r="H26" i="44"/>
  <c r="K27" i="44"/>
  <c r="L27" i="44" s="1"/>
  <c r="I27" i="44"/>
  <c r="H27" i="44"/>
  <c r="K28" i="44"/>
  <c r="L28" i="44" s="1"/>
  <c r="I28" i="44"/>
  <c r="H28" i="44"/>
  <c r="K31" i="44"/>
  <c r="L31" i="44" s="1"/>
  <c r="I31" i="44"/>
  <c r="H31" i="44"/>
  <c r="K21" i="44"/>
  <c r="I21" i="44"/>
  <c r="H21" i="44"/>
  <c r="K23" i="44"/>
  <c r="L23" i="44" s="1"/>
  <c r="I23" i="44"/>
  <c r="H23" i="44"/>
  <c r="K35" i="44"/>
  <c r="I35" i="44"/>
  <c r="H35" i="44"/>
  <c r="K19" i="44"/>
  <c r="I19" i="44"/>
  <c r="H19" i="44"/>
  <c r="K22" i="44"/>
  <c r="I22" i="44"/>
  <c r="H22" i="44"/>
  <c r="K24" i="44"/>
  <c r="L24" i="44" s="1"/>
  <c r="I24" i="44"/>
  <c r="H24" i="44"/>
  <c r="K20" i="44"/>
  <c r="L20" i="44" s="1"/>
  <c r="I20" i="44"/>
  <c r="H20" i="44"/>
  <c r="K32" i="44"/>
  <c r="I32" i="44"/>
  <c r="H32" i="44"/>
  <c r="K30" i="44"/>
  <c r="I30" i="44"/>
  <c r="H30" i="44"/>
  <c r="K25" i="44"/>
  <c r="L25" i="44" s="1"/>
  <c r="I25" i="44"/>
  <c r="H25" i="44"/>
  <c r="K29" i="44"/>
  <c r="I29" i="44"/>
  <c r="H29" i="44"/>
  <c r="K33" i="44"/>
  <c r="L33" i="44" s="1"/>
  <c r="I33" i="44"/>
  <c r="H33" i="44"/>
  <c r="D26" i="44"/>
  <c r="D27" i="44"/>
  <c r="D28" i="44"/>
  <c r="D31" i="44"/>
  <c r="D21" i="44"/>
  <c r="D23" i="44"/>
  <c r="D35" i="44"/>
  <c r="D19" i="44"/>
  <c r="D22" i="44"/>
  <c r="D24" i="44"/>
  <c r="D20" i="44"/>
  <c r="D32" i="44"/>
  <c r="D30" i="44"/>
  <c r="D25" i="44"/>
  <c r="D29" i="44"/>
  <c r="D33" i="44"/>
  <c r="D20" i="617"/>
  <c r="D25" i="617"/>
  <c r="C22" i="189"/>
  <c r="D22" i="189" s="1"/>
  <c r="C24" i="189"/>
  <c r="D24" i="189" s="1"/>
  <c r="H19" i="589" l="1"/>
  <c r="I19" i="589"/>
  <c r="K19" i="589"/>
  <c r="I20" i="589"/>
  <c r="K20" i="589"/>
  <c r="H20" i="589"/>
  <c r="I25" i="589"/>
  <c r="H25" i="589"/>
  <c r="K25" i="589"/>
  <c r="L26" i="44"/>
  <c r="L32" i="44"/>
  <c r="L30" i="44"/>
  <c r="L21" i="44"/>
  <c r="L29" i="44"/>
  <c r="L35" i="44"/>
  <c r="L19" i="44"/>
  <c r="L22" i="44"/>
  <c r="H20" i="617"/>
  <c r="I20" i="617"/>
  <c r="K20" i="617"/>
  <c r="L20" i="617" s="1"/>
  <c r="K25" i="617"/>
  <c r="L25" i="617" s="1"/>
  <c r="I25" i="617"/>
  <c r="H25" i="617"/>
  <c r="H22" i="189"/>
  <c r="I22" i="189"/>
  <c r="K22" i="189"/>
  <c r="H24" i="189"/>
  <c r="I24" i="189"/>
  <c r="K24" i="189"/>
  <c r="L24" i="189" s="1"/>
  <c r="L19" i="589" l="1"/>
  <c r="L20" i="589"/>
  <c r="L25" i="589"/>
  <c r="L22" i="189"/>
  <c r="K25" i="441" l="1"/>
  <c r="L25" i="441" s="1"/>
  <c r="I25" i="441"/>
  <c r="H25" i="441"/>
  <c r="K33" i="441"/>
  <c r="L33" i="441" s="1"/>
  <c r="I33" i="441"/>
  <c r="H33" i="441"/>
  <c r="K19" i="441"/>
  <c r="L19" i="441" s="1"/>
  <c r="I19" i="441"/>
  <c r="H19" i="441"/>
  <c r="D25" i="441"/>
  <c r="D33" i="441"/>
  <c r="D19" i="441"/>
  <c r="C21" i="618" l="1"/>
  <c r="D21" i="618" s="1"/>
  <c r="C20" i="618"/>
  <c r="D20" i="618" s="1"/>
  <c r="C25" i="618"/>
  <c r="D25" i="618" s="1"/>
  <c r="C26" i="618"/>
  <c r="D26" i="618" s="1"/>
  <c r="C23" i="618"/>
  <c r="D23" i="618" s="1"/>
  <c r="C19" i="618"/>
  <c r="D19" i="618" s="1"/>
  <c r="C24" i="618"/>
  <c r="D24" i="618" s="1"/>
  <c r="C27" i="618"/>
  <c r="D27" i="618" s="1"/>
  <c r="H21" i="618" l="1"/>
  <c r="I21" i="618"/>
  <c r="K21" i="618"/>
  <c r="L21" i="618" s="1"/>
  <c r="K20" i="618"/>
  <c r="H20" i="618"/>
  <c r="I20" i="618"/>
  <c r="K25" i="618"/>
  <c r="H25" i="618"/>
  <c r="I25" i="618"/>
  <c r="I26" i="618"/>
  <c r="H26" i="618"/>
  <c r="K26" i="618"/>
  <c r="K23" i="618"/>
  <c r="L23" i="618" s="1"/>
  <c r="H23" i="618"/>
  <c r="I23" i="618"/>
  <c r="H19" i="618"/>
  <c r="I19" i="618"/>
  <c r="K19" i="618"/>
  <c r="H24" i="618"/>
  <c r="K24" i="618"/>
  <c r="L24" i="618" s="1"/>
  <c r="I24" i="618"/>
  <c r="H27" i="618"/>
  <c r="I27" i="618"/>
  <c r="K27" i="618"/>
  <c r="L25" i="618" l="1"/>
  <c r="L20" i="618"/>
  <c r="L26" i="618"/>
  <c r="L19" i="618"/>
  <c r="L27" i="618"/>
  <c r="K28" i="52" l="1"/>
  <c r="L28" i="52" s="1"/>
  <c r="I28" i="52"/>
  <c r="H28" i="52"/>
  <c r="D28" i="52"/>
  <c r="K19" i="581"/>
  <c r="L19" i="581" s="1"/>
  <c r="I19" i="581"/>
  <c r="H19" i="581"/>
  <c r="D19" i="581"/>
  <c r="K34" i="441" l="1"/>
  <c r="L34" i="441" s="1"/>
  <c r="I34" i="441"/>
  <c r="H34" i="441"/>
  <c r="D34" i="441"/>
  <c r="K21" i="432" l="1"/>
  <c r="I21" i="432"/>
  <c r="H21" i="432"/>
  <c r="K22" i="432"/>
  <c r="L22" i="432" s="1"/>
  <c r="I22" i="432"/>
  <c r="H22" i="432"/>
  <c r="K20" i="432"/>
  <c r="L20" i="432" s="1"/>
  <c r="I20" i="432"/>
  <c r="H20" i="432"/>
  <c r="D21" i="432"/>
  <c r="D22" i="432"/>
  <c r="D20" i="432"/>
  <c r="C29" i="486"/>
  <c r="D29" i="486" s="1"/>
  <c r="I30" i="102"/>
  <c r="H30" i="102"/>
  <c r="D30" i="102"/>
  <c r="I29" i="102"/>
  <c r="H29" i="102"/>
  <c r="D29" i="102"/>
  <c r="I28" i="102"/>
  <c r="H28" i="102"/>
  <c r="D28" i="102"/>
  <c r="I40" i="96"/>
  <c r="H40" i="96"/>
  <c r="D40" i="96"/>
  <c r="I39" i="96"/>
  <c r="H39" i="96"/>
  <c r="D39" i="96"/>
  <c r="I38" i="96"/>
  <c r="H38" i="96"/>
  <c r="C22" i="618"/>
  <c r="D22" i="618" s="1"/>
  <c r="L21" i="432" l="1"/>
  <c r="H29" i="486"/>
  <c r="K29" i="486"/>
  <c r="L29" i="486" s="1"/>
  <c r="I29" i="486"/>
  <c r="H22" i="618"/>
  <c r="K22" i="618"/>
  <c r="I22" i="618"/>
  <c r="L22" i="618" l="1"/>
  <c r="K20" i="90" l="1"/>
  <c r="I20" i="90"/>
  <c r="H20" i="90"/>
  <c r="D20" i="90"/>
  <c r="L20" i="90" l="1"/>
  <c r="I21" i="136" l="1"/>
  <c r="H21" i="136"/>
  <c r="I27" i="136"/>
  <c r="H27" i="136"/>
  <c r="I22" i="136"/>
  <c r="H22" i="136"/>
  <c r="I25" i="136"/>
  <c r="H25" i="136"/>
  <c r="I19" i="136"/>
  <c r="H19" i="136"/>
  <c r="I28" i="136"/>
  <c r="H28" i="136"/>
  <c r="I26" i="136"/>
  <c r="H26" i="136"/>
  <c r="D21" i="136"/>
  <c r="D27" i="136"/>
  <c r="D22" i="136"/>
  <c r="D25" i="136"/>
  <c r="D19" i="136"/>
  <c r="D28" i="136"/>
  <c r="D26" i="136"/>
  <c r="K20" i="67"/>
  <c r="I20" i="67"/>
  <c r="H20" i="67"/>
  <c r="D20" i="67"/>
  <c r="K23" i="124"/>
  <c r="I23" i="124"/>
  <c r="H23" i="124"/>
  <c r="D23" i="124"/>
  <c r="C23" i="579"/>
  <c r="D23" i="579" s="1"/>
  <c r="D22" i="620"/>
  <c r="K20" i="391"/>
  <c r="L20" i="391" s="1"/>
  <c r="I20" i="391"/>
  <c r="H20" i="391"/>
  <c r="D20" i="391"/>
  <c r="K30" i="96"/>
  <c r="L30" i="96" s="1"/>
  <c r="I30" i="96"/>
  <c r="H30" i="96"/>
  <c r="K25" i="96"/>
  <c r="L25" i="96" s="1"/>
  <c r="I25" i="96"/>
  <c r="H25" i="96"/>
  <c r="D30" i="96"/>
  <c r="D25" i="96"/>
  <c r="L20" i="67" l="1"/>
  <c r="L23" i="124"/>
  <c r="H23" i="579"/>
  <c r="I23" i="579"/>
  <c r="K23" i="579"/>
  <c r="L23" i="579" s="1"/>
  <c r="H22" i="620"/>
  <c r="I22" i="620"/>
  <c r="K22" i="620"/>
  <c r="L22" i="620" s="1"/>
  <c r="C20" i="590" l="1"/>
  <c r="D20" i="590" s="1"/>
  <c r="C19" i="590"/>
  <c r="D19" i="590" s="1"/>
  <c r="C22" i="590"/>
  <c r="D22" i="590" s="1"/>
  <c r="I20" i="590" l="1"/>
  <c r="K20" i="590"/>
  <c r="H20" i="590"/>
  <c r="K19" i="590"/>
  <c r="I19" i="590"/>
  <c r="H19" i="590"/>
  <c r="K22" i="590"/>
  <c r="L22" i="590" s="1"/>
  <c r="I22" i="590"/>
  <c r="H22" i="590"/>
  <c r="L20" i="590" l="1"/>
  <c r="L19" i="590"/>
  <c r="K19" i="635" l="1"/>
  <c r="L19" i="635" s="1"/>
  <c r="K18" i="635"/>
  <c r="L18" i="635" s="1"/>
  <c r="I19" i="635"/>
  <c r="H19" i="635"/>
  <c r="H340" i="7"/>
  <c r="H330" i="7"/>
  <c r="DA330" i="7" s="1"/>
  <c r="D19" i="635"/>
  <c r="K32" i="635"/>
  <c r="I18" i="635"/>
  <c r="H18" i="635"/>
  <c r="D18" i="635"/>
  <c r="F11" i="635"/>
  <c r="L29" i="635" l="1"/>
  <c r="L30" i="635" s="1"/>
  <c r="L31" i="635" s="1"/>
  <c r="L32" i="635" l="1"/>
  <c r="L33" i="635" s="1"/>
  <c r="D23" i="617" l="1"/>
  <c r="C23" i="486"/>
  <c r="D23" i="486" s="1"/>
  <c r="C31" i="486"/>
  <c r="D31" i="486" s="1"/>
  <c r="C32" i="486"/>
  <c r="D32" i="486" s="1"/>
  <c r="D18" i="44"/>
  <c r="K20" i="282"/>
  <c r="L20" i="282" s="1"/>
  <c r="I20" i="282"/>
  <c r="H20" i="282"/>
  <c r="D20" i="282"/>
  <c r="C36" i="619"/>
  <c r="D36" i="619" s="1"/>
  <c r="C32" i="619"/>
  <c r="D32" i="619" s="1"/>
  <c r="C33" i="619"/>
  <c r="D33" i="619" s="1"/>
  <c r="C20" i="619"/>
  <c r="D20" i="619" s="1"/>
  <c r="C19" i="619"/>
  <c r="D19" i="619" s="1"/>
  <c r="C28" i="619"/>
  <c r="D28" i="619" s="1"/>
  <c r="C35" i="619"/>
  <c r="D35" i="619" s="1"/>
  <c r="C26" i="619"/>
  <c r="D26" i="619" s="1"/>
  <c r="C21" i="619"/>
  <c r="D21" i="619" s="1"/>
  <c r="C24" i="619"/>
  <c r="D24" i="619" s="1"/>
  <c r="C34" i="619"/>
  <c r="D34" i="619" s="1"/>
  <c r="C23" i="619"/>
  <c r="D23" i="619" s="1"/>
  <c r="C25" i="619"/>
  <c r="D25" i="619" s="1"/>
  <c r="C31" i="619"/>
  <c r="D31" i="619" s="1"/>
  <c r="H23" i="617" l="1"/>
  <c r="K23" i="617"/>
  <c r="I23" i="617"/>
  <c r="K23" i="486"/>
  <c r="L23" i="486" s="1"/>
  <c r="H23" i="486"/>
  <c r="I23" i="486"/>
  <c r="H31" i="486"/>
  <c r="I31" i="486"/>
  <c r="K31" i="486"/>
  <c r="L31" i="486" s="1"/>
  <c r="K32" i="486"/>
  <c r="L32" i="486" s="1"/>
  <c r="I32" i="486"/>
  <c r="H32" i="486"/>
  <c r="H36" i="619"/>
  <c r="I36" i="619"/>
  <c r="K36" i="619"/>
  <c r="L36" i="619" s="1"/>
  <c r="I32" i="619"/>
  <c r="K32" i="619"/>
  <c r="L32" i="619" s="1"/>
  <c r="H32" i="619"/>
  <c r="I33" i="619"/>
  <c r="H33" i="619"/>
  <c r="K33" i="619"/>
  <c r="L33" i="619" s="1"/>
  <c r="I20" i="619"/>
  <c r="K20" i="619"/>
  <c r="L20" i="619" s="1"/>
  <c r="H20" i="619"/>
  <c r="H19" i="619"/>
  <c r="I19" i="619"/>
  <c r="K19" i="619"/>
  <c r="H28" i="619"/>
  <c r="K28" i="619"/>
  <c r="I28" i="619"/>
  <c r="H35" i="619"/>
  <c r="K35" i="619"/>
  <c r="I35" i="619"/>
  <c r="H26" i="619"/>
  <c r="I26" i="619"/>
  <c r="K26" i="619"/>
  <c r="H21" i="619"/>
  <c r="K21" i="619"/>
  <c r="L21" i="619" s="1"/>
  <c r="I21" i="619"/>
  <c r="I24" i="619"/>
  <c r="K24" i="619"/>
  <c r="L24" i="619" s="1"/>
  <c r="H24" i="619"/>
  <c r="I34" i="619"/>
  <c r="H34" i="619"/>
  <c r="K34" i="619"/>
  <c r="L34" i="619" s="1"/>
  <c r="I23" i="619"/>
  <c r="K23" i="619"/>
  <c r="L23" i="619" s="1"/>
  <c r="H23" i="619"/>
  <c r="I25" i="619"/>
  <c r="K25" i="619"/>
  <c r="L25" i="619" s="1"/>
  <c r="H25" i="619"/>
  <c r="K31" i="619"/>
  <c r="I31" i="619"/>
  <c r="H31" i="619"/>
  <c r="L23" i="617" l="1"/>
  <c r="L19" i="619"/>
  <c r="L28" i="619"/>
  <c r="L35" i="619"/>
  <c r="L26" i="619"/>
  <c r="L31" i="619"/>
  <c r="K24" i="77" l="1"/>
  <c r="L24" i="77" s="1"/>
  <c r="I24" i="77"/>
  <c r="H24" i="77"/>
  <c r="D24" i="77"/>
  <c r="C35" i="585" l="1"/>
  <c r="D35" i="585" s="1"/>
  <c r="C24" i="585"/>
  <c r="D24" i="585" s="1"/>
  <c r="C22" i="585"/>
  <c r="D22" i="585" s="1"/>
  <c r="C34" i="585"/>
  <c r="D34" i="585" s="1"/>
  <c r="C30" i="585"/>
  <c r="D30" i="585" s="1"/>
  <c r="C23" i="585"/>
  <c r="D23" i="585" s="1"/>
  <c r="C33" i="585"/>
  <c r="D33" i="585" s="1"/>
  <c r="I35" i="585" l="1"/>
  <c r="H35" i="585"/>
  <c r="K35" i="585"/>
  <c r="L35" i="585" s="1"/>
  <c r="I24" i="585"/>
  <c r="H24" i="585"/>
  <c r="K24" i="585"/>
  <c r="L24" i="585" s="1"/>
  <c r="I22" i="585"/>
  <c r="K22" i="585"/>
  <c r="L22" i="585" s="1"/>
  <c r="H22" i="585"/>
  <c r="H34" i="585"/>
  <c r="K34" i="585"/>
  <c r="L34" i="585" s="1"/>
  <c r="I34" i="585"/>
  <c r="K30" i="585"/>
  <c r="L30" i="585" s="1"/>
  <c r="H30" i="585"/>
  <c r="I30" i="585"/>
  <c r="H23" i="585"/>
  <c r="I23" i="585"/>
  <c r="K23" i="585"/>
  <c r="L23" i="585" s="1"/>
  <c r="H33" i="585"/>
  <c r="I33" i="585"/>
  <c r="K33" i="585"/>
  <c r="L33" i="585" s="1"/>
  <c r="K20" i="97" l="1"/>
  <c r="I20" i="97"/>
  <c r="H20" i="97"/>
  <c r="D20" i="97"/>
  <c r="L20" i="97" l="1"/>
  <c r="K19" i="246" l="1"/>
  <c r="L19" i="246" s="1"/>
  <c r="I19" i="246"/>
  <c r="H19" i="246"/>
  <c r="K21" i="246"/>
  <c r="L21" i="246" s="1"/>
  <c r="I21" i="246"/>
  <c r="H21" i="246"/>
  <c r="K25" i="246"/>
  <c r="L25" i="246" s="1"/>
  <c r="I25" i="246"/>
  <c r="H25" i="246"/>
  <c r="K20" i="246"/>
  <c r="L20" i="246" s="1"/>
  <c r="I20" i="246"/>
  <c r="H20" i="246"/>
  <c r="D19" i="246"/>
  <c r="D21" i="246"/>
  <c r="D25" i="246"/>
  <c r="D20" i="246"/>
  <c r="K21" i="278"/>
  <c r="L21" i="278" s="1"/>
  <c r="I21" i="278"/>
  <c r="H21" i="278"/>
  <c r="D21" i="278"/>
  <c r="K20" i="581"/>
  <c r="L20" i="581" s="1"/>
  <c r="I20" i="581"/>
  <c r="H20" i="581"/>
  <c r="D20" i="581"/>
  <c r="K21" i="330"/>
  <c r="I21" i="330"/>
  <c r="H21" i="330"/>
  <c r="K25" i="330"/>
  <c r="I25" i="330"/>
  <c r="H25" i="330"/>
  <c r="D21" i="330"/>
  <c r="D25" i="330"/>
  <c r="L25" i="330" l="1"/>
  <c r="L21" i="330"/>
  <c r="K19" i="556"/>
  <c r="L19" i="556" s="1"/>
  <c r="I19" i="556"/>
  <c r="H19" i="556"/>
  <c r="D19" i="556"/>
  <c r="C21" i="589" l="1"/>
  <c r="D21" i="589" s="1"/>
  <c r="DA429" i="7"/>
  <c r="H21" i="589" l="1"/>
  <c r="I21" i="589"/>
  <c r="K21" i="589"/>
  <c r="L21" i="589" l="1"/>
  <c r="K21" i="81" l="1"/>
  <c r="I21" i="81"/>
  <c r="H21" i="81"/>
  <c r="D21" i="81"/>
  <c r="D20" i="81"/>
  <c r="K19" i="42"/>
  <c r="L19" i="42" s="1"/>
  <c r="I19" i="42"/>
  <c r="H19" i="42"/>
  <c r="D19" i="42"/>
  <c r="L21" i="81" l="1"/>
  <c r="DA67" i="7" l="1"/>
  <c r="K23" i="634"/>
  <c r="I23" i="634"/>
  <c r="H23" i="634"/>
  <c r="K22" i="634"/>
  <c r="I22" i="634"/>
  <c r="H22" i="634"/>
  <c r="K21" i="634"/>
  <c r="L21" i="634" s="1"/>
  <c r="I21" i="634"/>
  <c r="H21" i="634"/>
  <c r="K20" i="634"/>
  <c r="L20" i="634" s="1"/>
  <c r="I20" i="634"/>
  <c r="H20" i="634"/>
  <c r="K19" i="634"/>
  <c r="I19" i="634"/>
  <c r="H19" i="634"/>
  <c r="D23" i="634"/>
  <c r="D22" i="634"/>
  <c r="D21" i="634"/>
  <c r="D20" i="634"/>
  <c r="D19" i="634"/>
  <c r="D21" i="511"/>
  <c r="K21" i="511"/>
  <c r="I21" i="511"/>
  <c r="H21" i="511"/>
  <c r="K30" i="342"/>
  <c r="L30" i="342" s="1"/>
  <c r="I30" i="342"/>
  <c r="H30" i="342"/>
  <c r="D30" i="342"/>
  <c r="L22" i="634" l="1"/>
  <c r="L19" i="634"/>
  <c r="L23" i="634"/>
  <c r="L21" i="511"/>
  <c r="K20" i="176" l="1"/>
  <c r="I20" i="176"/>
  <c r="H20" i="176"/>
  <c r="K19" i="176"/>
  <c r="I19" i="176"/>
  <c r="H19" i="176"/>
  <c r="D20" i="176"/>
  <c r="D19" i="176"/>
  <c r="C24" i="366"/>
  <c r="D24" i="366" s="1"/>
  <c r="C29" i="366"/>
  <c r="D29" i="366" s="1"/>
  <c r="C22" i="366"/>
  <c r="D22" i="366" s="1"/>
  <c r="C31" i="585"/>
  <c r="D31" i="585" s="1"/>
  <c r="C27" i="590"/>
  <c r="D27" i="590" s="1"/>
  <c r="L20" i="176" l="1"/>
  <c r="L19" i="176"/>
  <c r="H24" i="366"/>
  <c r="I24" i="366"/>
  <c r="K24" i="366"/>
  <c r="L24" i="366" s="1"/>
  <c r="I29" i="366"/>
  <c r="K29" i="366"/>
  <c r="H29" i="366"/>
  <c r="H22" i="366"/>
  <c r="I22" i="366"/>
  <c r="K22" i="366"/>
  <c r="L22" i="366" s="1"/>
  <c r="K31" i="585"/>
  <c r="L31" i="585" s="1"/>
  <c r="H31" i="585"/>
  <c r="I31" i="585"/>
  <c r="K27" i="590"/>
  <c r="H27" i="590"/>
  <c r="I27" i="590"/>
  <c r="K21" i="76"/>
  <c r="L21" i="76" s="1"/>
  <c r="I21" i="76"/>
  <c r="H21" i="76"/>
  <c r="D21" i="76"/>
  <c r="K23" i="537"/>
  <c r="I23" i="537"/>
  <c r="H23" i="537"/>
  <c r="K19" i="537"/>
  <c r="I19" i="537"/>
  <c r="H19" i="537"/>
  <c r="K20" i="537"/>
  <c r="I20" i="537"/>
  <c r="H20" i="537"/>
  <c r="K27" i="537"/>
  <c r="L27" i="537" s="1"/>
  <c r="I27" i="537"/>
  <c r="H27" i="537"/>
  <c r="K24" i="537"/>
  <c r="I24" i="537"/>
  <c r="H24" i="537"/>
  <c r="K21" i="537"/>
  <c r="I21" i="537"/>
  <c r="H21" i="537"/>
  <c r="D23" i="537"/>
  <c r="D19" i="537"/>
  <c r="D20" i="537"/>
  <c r="D27" i="537"/>
  <c r="D24" i="537"/>
  <c r="D21" i="537"/>
  <c r="K20" i="204"/>
  <c r="I20" i="204"/>
  <c r="H20" i="204"/>
  <c r="K19" i="204"/>
  <c r="I19" i="204"/>
  <c r="H19" i="204"/>
  <c r="D20" i="204"/>
  <c r="D19" i="204"/>
  <c r="K35" i="219"/>
  <c r="I35" i="219"/>
  <c r="H35" i="219"/>
  <c r="K38" i="219"/>
  <c r="I38" i="219"/>
  <c r="H38" i="219"/>
  <c r="K34" i="219"/>
  <c r="L34" i="219" s="1"/>
  <c r="I34" i="219"/>
  <c r="H34" i="219"/>
  <c r="K33" i="219"/>
  <c r="L33" i="219" s="1"/>
  <c r="I33" i="219"/>
  <c r="H33" i="219"/>
  <c r="K32" i="219"/>
  <c r="L32" i="219" s="1"/>
  <c r="I32" i="219"/>
  <c r="H32" i="219"/>
  <c r="K31" i="219"/>
  <c r="I31" i="219"/>
  <c r="H31" i="219"/>
  <c r="K30" i="219"/>
  <c r="L30" i="219" s="1"/>
  <c r="I30" i="219"/>
  <c r="H30" i="219"/>
  <c r="K29" i="219"/>
  <c r="I29" i="219"/>
  <c r="H29" i="219"/>
  <c r="K28" i="219"/>
  <c r="I28" i="219"/>
  <c r="H28" i="219"/>
  <c r="D35" i="219"/>
  <c r="D38" i="219"/>
  <c r="D34" i="219"/>
  <c r="D33" i="219"/>
  <c r="D32" i="219"/>
  <c r="D31" i="219"/>
  <c r="D30" i="219"/>
  <c r="D29" i="219"/>
  <c r="D28" i="219"/>
  <c r="DA161" i="7"/>
  <c r="CS161" i="7"/>
  <c r="K19" i="401"/>
  <c r="I19" i="401"/>
  <c r="H19" i="401"/>
  <c r="K21" i="401"/>
  <c r="I21" i="401"/>
  <c r="H21" i="401"/>
  <c r="K20" i="401"/>
  <c r="L20" i="401" s="1"/>
  <c r="I20" i="401"/>
  <c r="H20" i="401"/>
  <c r="D19" i="401"/>
  <c r="D21" i="401"/>
  <c r="D20" i="401"/>
  <c r="K19" i="370"/>
  <c r="I19" i="370"/>
  <c r="H19" i="370"/>
  <c r="D19" i="370"/>
  <c r="L29" i="366" l="1"/>
  <c r="L27" i="590"/>
  <c r="L21" i="537"/>
  <c r="L24" i="537"/>
  <c r="L19" i="537"/>
  <c r="L20" i="537"/>
  <c r="L23" i="537"/>
  <c r="L20" i="204"/>
  <c r="L19" i="204"/>
  <c r="L38" i="219"/>
  <c r="L31" i="219"/>
  <c r="L29" i="219"/>
  <c r="L28" i="219"/>
  <c r="L35" i="219"/>
  <c r="L21" i="401"/>
  <c r="L19" i="401"/>
  <c r="L19" i="370"/>
  <c r="K29" i="52"/>
  <c r="L29" i="52" s="1"/>
  <c r="I29" i="52"/>
  <c r="H29" i="52"/>
  <c r="K27" i="52"/>
  <c r="L27" i="52" s="1"/>
  <c r="I27" i="52"/>
  <c r="H27" i="52"/>
  <c r="D27" i="52"/>
  <c r="DA428" i="7"/>
  <c r="K23" i="432"/>
  <c r="L23" i="432" s="1"/>
  <c r="I23" i="432"/>
  <c r="H23" i="432"/>
  <c r="D23" i="432"/>
  <c r="K35" i="330" l="1"/>
  <c r="I35" i="330"/>
  <c r="H35" i="330"/>
  <c r="D35" i="330"/>
  <c r="L35" i="330" l="1"/>
  <c r="K18" i="634" l="1"/>
  <c r="K34" i="634"/>
  <c r="I18" i="634"/>
  <c r="H18" i="634"/>
  <c r="D18" i="634"/>
  <c r="F11" i="634"/>
  <c r="K20" i="113"/>
  <c r="L20" i="113" s="1"/>
  <c r="I20" i="113"/>
  <c r="H20" i="113"/>
  <c r="D20" i="113"/>
  <c r="C21" i="579"/>
  <c r="D21" i="579" s="1"/>
  <c r="K33" i="633"/>
  <c r="K18" i="633"/>
  <c r="I18" i="633"/>
  <c r="H18" i="633"/>
  <c r="D18" i="633"/>
  <c r="F11" i="633"/>
  <c r="L18" i="634" l="1"/>
  <c r="H21" i="579"/>
  <c r="I21" i="579"/>
  <c r="K21" i="579"/>
  <c r="L21" i="579" s="1"/>
  <c r="L18" i="633"/>
  <c r="L31" i="634" l="1"/>
  <c r="L30" i="633"/>
  <c r="L32" i="634" l="1"/>
  <c r="L33" i="634" s="1"/>
  <c r="L31" i="633"/>
  <c r="L32" i="633" s="1"/>
  <c r="L34" i="634" l="1"/>
  <c r="L35" i="634" s="1"/>
  <c r="L33" i="633"/>
  <c r="L34" i="633" s="1"/>
  <c r="D29" i="139" l="1"/>
  <c r="K29" i="139"/>
  <c r="I29" i="139"/>
  <c r="H29" i="139"/>
  <c r="L29" i="139" l="1"/>
  <c r="K29" i="441" l="1"/>
  <c r="L29" i="441" s="1"/>
  <c r="I29" i="441"/>
  <c r="H29" i="441"/>
  <c r="D29" i="441"/>
  <c r="K18" i="525" l="1"/>
  <c r="C19" i="620" l="1"/>
  <c r="D19" i="620" s="1"/>
  <c r="D20" i="620"/>
  <c r="H19" i="620" l="1"/>
  <c r="K19" i="620"/>
  <c r="L19" i="620" s="1"/>
  <c r="I19" i="620"/>
  <c r="K20" i="620"/>
  <c r="L20" i="620" s="1"/>
  <c r="I20" i="620"/>
  <c r="H20" i="620"/>
  <c r="C19" i="486" l="1"/>
  <c r="D19" i="486" s="1"/>
  <c r="C28" i="486"/>
  <c r="D28" i="486" s="1"/>
  <c r="C22" i="486"/>
  <c r="D22" i="486" s="1"/>
  <c r="C21" i="486"/>
  <c r="D21" i="486" s="1"/>
  <c r="C27" i="486"/>
  <c r="D27" i="486" s="1"/>
  <c r="C24" i="486"/>
  <c r="D24" i="486" s="1"/>
  <c r="C25" i="189"/>
  <c r="D25" i="189" s="1"/>
  <c r="C23" i="189"/>
  <c r="D23" i="189" s="1"/>
  <c r="DA69" i="7"/>
  <c r="C22" i="579"/>
  <c r="D22" i="579" s="1"/>
  <c r="H427" i="7"/>
  <c r="DA427" i="7" s="1"/>
  <c r="DA426" i="7"/>
  <c r="H19" i="486" l="1"/>
  <c r="I28" i="486"/>
  <c r="I21" i="486"/>
  <c r="H21" i="486"/>
  <c r="K28" i="486"/>
  <c r="L28" i="486" s="1"/>
  <c r="H27" i="486"/>
  <c r="K21" i="486"/>
  <c r="L21" i="486" s="1"/>
  <c r="I19" i="486"/>
  <c r="I27" i="486"/>
  <c r="H22" i="486"/>
  <c r="K19" i="486"/>
  <c r="L19" i="486" s="1"/>
  <c r="H24" i="486"/>
  <c r="K27" i="486"/>
  <c r="L27" i="486" s="1"/>
  <c r="I22" i="486"/>
  <c r="I24" i="486"/>
  <c r="K22" i="486"/>
  <c r="L22" i="486" s="1"/>
  <c r="K24" i="486"/>
  <c r="L24" i="486" s="1"/>
  <c r="H28" i="486"/>
  <c r="H25" i="189"/>
  <c r="I25" i="189"/>
  <c r="K25" i="189"/>
  <c r="H23" i="189"/>
  <c r="I23" i="189"/>
  <c r="K23" i="189"/>
  <c r="L23" i="189" s="1"/>
  <c r="H22" i="579"/>
  <c r="I22" i="579"/>
  <c r="K22" i="579"/>
  <c r="L22" i="579" s="1"/>
  <c r="K22" i="588"/>
  <c r="I22" i="588"/>
  <c r="H22" i="588"/>
  <c r="D22" i="588"/>
  <c r="K21" i="556"/>
  <c r="L21" i="556" s="1"/>
  <c r="I21" i="556"/>
  <c r="H21" i="556"/>
  <c r="K27" i="556"/>
  <c r="L27" i="556" s="1"/>
  <c r="I27" i="556"/>
  <c r="H27" i="556"/>
  <c r="K26" i="556"/>
  <c r="L26" i="556" s="1"/>
  <c r="I26" i="556"/>
  <c r="H26" i="556"/>
  <c r="D21" i="556"/>
  <c r="D27" i="556"/>
  <c r="D26" i="556"/>
  <c r="L25" i="189" l="1"/>
  <c r="L22" i="588"/>
  <c r="K19" i="626" l="1"/>
  <c r="L19" i="626" s="1"/>
  <c r="I19" i="626"/>
  <c r="H19" i="626"/>
  <c r="D19" i="626"/>
  <c r="K34" i="626"/>
  <c r="M31" i="626"/>
  <c r="K18" i="626"/>
  <c r="L18" i="626" s="1"/>
  <c r="I18" i="626"/>
  <c r="H18" i="626"/>
  <c r="D18" i="626"/>
  <c r="F11" i="626"/>
  <c r="C18" i="618"/>
  <c r="C21" i="366"/>
  <c r="D21" i="366" s="1"/>
  <c r="C27" i="366"/>
  <c r="D27" i="366" s="1"/>
  <c r="C19" i="366"/>
  <c r="D19" i="366" s="1"/>
  <c r="C25" i="366"/>
  <c r="D25" i="366" s="1"/>
  <c r="C23" i="366"/>
  <c r="D23" i="366" s="1"/>
  <c r="K24" i="51"/>
  <c r="I24" i="51"/>
  <c r="H24" i="51"/>
  <c r="I30" i="51"/>
  <c r="H30" i="51"/>
  <c r="I29" i="51"/>
  <c r="H29" i="51"/>
  <c r="I28" i="51"/>
  <c r="H28" i="51"/>
  <c r="I19" i="51"/>
  <c r="H19" i="51"/>
  <c r="K25" i="51"/>
  <c r="I25" i="51"/>
  <c r="H25" i="51"/>
  <c r="K27" i="51"/>
  <c r="I27" i="51"/>
  <c r="H27" i="51"/>
  <c r="D24" i="51"/>
  <c r="D30" i="51"/>
  <c r="D29" i="51"/>
  <c r="D28" i="51"/>
  <c r="D19" i="51"/>
  <c r="D25" i="51"/>
  <c r="D27" i="51"/>
  <c r="K21" i="97"/>
  <c r="I21" i="97"/>
  <c r="H21" i="97"/>
  <c r="D21" i="97"/>
  <c r="L31" i="626" l="1"/>
  <c r="L32" i="626" s="1"/>
  <c r="L33" i="626" s="1"/>
  <c r="H21" i="366"/>
  <c r="I21" i="366"/>
  <c r="K21" i="366"/>
  <c r="H27" i="366"/>
  <c r="I27" i="366"/>
  <c r="K27" i="366"/>
  <c r="L27" i="366" s="1"/>
  <c r="K19" i="366"/>
  <c r="H19" i="366"/>
  <c r="I19" i="366"/>
  <c r="K25" i="366"/>
  <c r="H25" i="366"/>
  <c r="I25" i="366"/>
  <c r="K23" i="366"/>
  <c r="H23" i="366"/>
  <c r="I23" i="366"/>
  <c r="L27" i="51"/>
  <c r="L25" i="51"/>
  <c r="L24" i="51"/>
  <c r="L21" i="97"/>
  <c r="L34" i="626" l="1"/>
  <c r="L35" i="626" s="1"/>
  <c r="L21" i="366"/>
  <c r="L19" i="366"/>
  <c r="L25" i="366"/>
  <c r="L23" i="366"/>
  <c r="K19" i="268" l="1"/>
  <c r="L19" i="268" s="1"/>
  <c r="I19" i="268"/>
  <c r="H19" i="268"/>
  <c r="D19" i="268"/>
  <c r="K18" i="625" l="1"/>
  <c r="K34" i="625"/>
  <c r="I18" i="625"/>
  <c r="H18" i="625"/>
  <c r="D18" i="625"/>
  <c r="F11" i="625"/>
  <c r="K20" i="588"/>
  <c r="I20" i="588"/>
  <c r="H20" i="588"/>
  <c r="D20" i="588"/>
  <c r="L18" i="625" l="1"/>
  <c r="L20" i="588"/>
  <c r="L31" i="625" l="1"/>
  <c r="L32" i="625" l="1"/>
  <c r="L33" i="625" s="1"/>
  <c r="L34" i="625" l="1"/>
  <c r="L35" i="625" s="1"/>
  <c r="D19" i="282" l="1"/>
  <c r="K19" i="113" l="1"/>
  <c r="L19" i="113" s="1"/>
  <c r="I19" i="113"/>
  <c r="H19" i="113"/>
  <c r="D19" i="113"/>
  <c r="K19" i="124" l="1"/>
  <c r="I19" i="124"/>
  <c r="H19" i="124"/>
  <c r="D19" i="124"/>
  <c r="K20" i="280"/>
  <c r="L20" i="280" s="1"/>
  <c r="I20" i="280"/>
  <c r="H20" i="280"/>
  <c r="D20" i="280"/>
  <c r="L19" i="124" l="1"/>
  <c r="C32" i="585" l="1"/>
  <c r="D32" i="585" s="1"/>
  <c r="K22" i="391"/>
  <c r="I22" i="391"/>
  <c r="H22" i="391"/>
  <c r="D22" i="391"/>
  <c r="K19" i="442"/>
  <c r="I19" i="442"/>
  <c r="H19" i="442"/>
  <c r="D19" i="442"/>
  <c r="K19" i="97"/>
  <c r="L19" i="97" s="1"/>
  <c r="I19" i="97"/>
  <c r="H19" i="97"/>
  <c r="K22" i="97"/>
  <c r="I22" i="97"/>
  <c r="H22" i="97"/>
  <c r="D19" i="97"/>
  <c r="D22" i="97"/>
  <c r="K25" i="581"/>
  <c r="L25" i="581" s="1"/>
  <c r="I25" i="581"/>
  <c r="H25" i="581"/>
  <c r="D25" i="581"/>
  <c r="D18" i="120"/>
  <c r="DA30" i="7"/>
  <c r="D19" i="617"/>
  <c r="I38" i="52"/>
  <c r="H38" i="52"/>
  <c r="D38" i="52"/>
  <c r="I37" i="52"/>
  <c r="H37" i="52"/>
  <c r="D37" i="52"/>
  <c r="I36" i="52"/>
  <c r="H36" i="52"/>
  <c r="D36" i="52"/>
  <c r="K21" i="573"/>
  <c r="L21" i="573" s="1"/>
  <c r="I21" i="573"/>
  <c r="H21" i="573"/>
  <c r="D21" i="573"/>
  <c r="H32" i="585" l="1"/>
  <c r="K32" i="585"/>
  <c r="L32" i="585" s="1"/>
  <c r="I32" i="585"/>
  <c r="L22" i="391"/>
  <c r="L19" i="442"/>
  <c r="L22" i="97"/>
  <c r="I19" i="617"/>
  <c r="K19" i="617"/>
  <c r="L19" i="617" s="1"/>
  <c r="H19" i="617"/>
  <c r="C20" i="579" l="1"/>
  <c r="D20" i="579" s="1"/>
  <c r="C21" i="189"/>
  <c r="D21" i="189" s="1"/>
  <c r="C27" i="619"/>
  <c r="D27" i="619" s="1"/>
  <c r="C30" i="619"/>
  <c r="D30" i="619" s="1"/>
  <c r="DA521" i="7"/>
  <c r="K20" i="579" l="1"/>
  <c r="L20" i="579" s="1"/>
  <c r="H20" i="579"/>
  <c r="I20" i="579"/>
  <c r="I21" i="189"/>
  <c r="K21" i="189"/>
  <c r="L21" i="189" s="1"/>
  <c r="H21" i="189"/>
  <c r="I27" i="619"/>
  <c r="K27" i="619"/>
  <c r="L27" i="619" s="1"/>
  <c r="H27" i="619"/>
  <c r="I30" i="619"/>
  <c r="H30" i="619"/>
  <c r="K30" i="619"/>
  <c r="L30" i="619" s="1"/>
  <c r="D21" i="620" l="1"/>
  <c r="H21" i="620" l="1"/>
  <c r="I21" i="620"/>
  <c r="K21" i="620"/>
  <c r="K21" i="204"/>
  <c r="I21" i="204"/>
  <c r="H21" i="204"/>
  <c r="D21" i="204"/>
  <c r="K26" i="330"/>
  <c r="L26" i="330" s="1"/>
  <c r="I26" i="330"/>
  <c r="H26" i="330"/>
  <c r="K34" i="330"/>
  <c r="I34" i="330"/>
  <c r="H34" i="330"/>
  <c r="D26" i="330"/>
  <c r="D34" i="330"/>
  <c r="L21" i="620" l="1"/>
  <c r="L21" i="204"/>
  <c r="L34" i="330"/>
  <c r="K35" i="624" l="1"/>
  <c r="K18" i="624"/>
  <c r="I18" i="624"/>
  <c r="H18" i="624"/>
  <c r="D18" i="624"/>
  <c r="F11" i="624"/>
  <c r="K35" i="623"/>
  <c r="K18" i="623"/>
  <c r="L18" i="623" s="1"/>
  <c r="I18" i="623"/>
  <c r="H18" i="623"/>
  <c r="D18" i="623"/>
  <c r="F11" i="623"/>
  <c r="Q44" i="621"/>
  <c r="K40" i="621"/>
  <c r="D18" i="621"/>
  <c r="F11" i="621"/>
  <c r="K35" i="620"/>
  <c r="C18" i="620"/>
  <c r="I18" i="620" s="1"/>
  <c r="F11" i="620"/>
  <c r="Q47" i="619"/>
  <c r="K43" i="619"/>
  <c r="C22" i="619"/>
  <c r="C18" i="619"/>
  <c r="D18" i="619" s="1"/>
  <c r="C29" i="619"/>
  <c r="I29" i="619" s="1"/>
  <c r="F11" i="619"/>
  <c r="I18" i="618"/>
  <c r="Q44" i="618"/>
  <c r="K40" i="618"/>
  <c r="F11" i="618"/>
  <c r="Q46" i="617"/>
  <c r="K42" i="617"/>
  <c r="D22" i="617"/>
  <c r="K34" i="617"/>
  <c r="K32" i="617"/>
  <c r="D26" i="617"/>
  <c r="F11" i="617"/>
  <c r="K20" i="102"/>
  <c r="L20" i="102" s="1"/>
  <c r="I20" i="102"/>
  <c r="H20" i="102"/>
  <c r="D20" i="102"/>
  <c r="L18" i="624" l="1"/>
  <c r="L32" i="624" s="1"/>
  <c r="L32" i="623"/>
  <c r="H18" i="621"/>
  <c r="I18" i="621"/>
  <c r="K18" i="621"/>
  <c r="K18" i="620"/>
  <c r="L18" i="620" s="1"/>
  <c r="D18" i="620"/>
  <c r="H18" i="620"/>
  <c r="K29" i="619"/>
  <c r="L29" i="619" s="1"/>
  <c r="I18" i="619"/>
  <c r="D22" i="619"/>
  <c r="H18" i="619"/>
  <c r="H22" i="619"/>
  <c r="D29" i="619"/>
  <c r="K18" i="619"/>
  <c r="H29" i="619"/>
  <c r="K22" i="619"/>
  <c r="I22" i="619"/>
  <c r="H18" i="618"/>
  <c r="K18" i="618"/>
  <c r="L18" i="618" s="1"/>
  <c r="D18" i="618"/>
  <c r="D18" i="617"/>
  <c r="D27" i="617"/>
  <c r="I26" i="617"/>
  <c r="H27" i="617"/>
  <c r="K26" i="617"/>
  <c r="L26" i="617" s="1"/>
  <c r="I27" i="617"/>
  <c r="K27" i="617"/>
  <c r="L27" i="617" s="1"/>
  <c r="K22" i="617"/>
  <c r="L22" i="617" s="1"/>
  <c r="D32" i="617"/>
  <c r="H32" i="617"/>
  <c r="I32" i="617"/>
  <c r="D34" i="617"/>
  <c r="H34" i="617"/>
  <c r="L34" i="617"/>
  <c r="H26" i="617"/>
  <c r="H22" i="617"/>
  <c r="I22" i="617"/>
  <c r="I18" i="617"/>
  <c r="L32" i="617"/>
  <c r="K18" i="617"/>
  <c r="H18" i="617"/>
  <c r="I34" i="617"/>
  <c r="L33" i="624" l="1"/>
  <c r="L34" i="624" s="1"/>
  <c r="L33" i="623"/>
  <c r="L34" i="623" s="1"/>
  <c r="L18" i="621"/>
  <c r="L18" i="619"/>
  <c r="L22" i="619"/>
  <c r="L18" i="617"/>
  <c r="L35" i="624" l="1"/>
  <c r="L36" i="624" s="1"/>
  <c r="L35" i="623"/>
  <c r="L36" i="623" s="1"/>
  <c r="L37" i="621"/>
  <c r="L39" i="621" s="1"/>
  <c r="L40" i="621" s="1"/>
  <c r="L41" i="621" s="1"/>
  <c r="L32" i="620"/>
  <c r="L34" i="620" s="1"/>
  <c r="L35" i="620" s="1"/>
  <c r="L36" i="620" s="1"/>
  <c r="L40" i="619"/>
  <c r="L42" i="619" s="1"/>
  <c r="L37" i="618"/>
  <c r="L39" i="618" s="1"/>
  <c r="L39" i="617"/>
  <c r="L41" i="617" s="1"/>
  <c r="K25" i="41"/>
  <c r="L25" i="41" s="1"/>
  <c r="I25" i="41"/>
  <c r="H25" i="41"/>
  <c r="K20" i="41"/>
  <c r="L20" i="41" s="1"/>
  <c r="I20" i="41"/>
  <c r="H20" i="41"/>
  <c r="K19" i="41"/>
  <c r="L19" i="41" s="1"/>
  <c r="I19" i="41"/>
  <c r="H19" i="41"/>
  <c r="D25" i="41"/>
  <c r="D20" i="41"/>
  <c r="D19" i="41"/>
  <c r="D22" i="399"/>
  <c r="H22" i="399"/>
  <c r="I22" i="399"/>
  <c r="K22" i="399"/>
  <c r="L22" i="399" s="1"/>
  <c r="K22" i="124"/>
  <c r="I22" i="124"/>
  <c r="H22" i="124"/>
  <c r="K20" i="124"/>
  <c r="I20" i="124"/>
  <c r="H20" i="124"/>
  <c r="D22" i="124"/>
  <c r="D20" i="124"/>
  <c r="L43" i="619" l="1"/>
  <c r="L44" i="619" s="1"/>
  <c r="L40" i="618"/>
  <c r="L41" i="618" s="1"/>
  <c r="L42" i="617"/>
  <c r="L43" i="617" s="1"/>
  <c r="L22" i="124"/>
  <c r="L20" i="124"/>
  <c r="DA425" i="7" l="1"/>
  <c r="BB425" i="7"/>
  <c r="K19" i="614" l="1"/>
  <c r="K20" i="614"/>
  <c r="K18" i="614"/>
  <c r="K35" i="614" l="1"/>
  <c r="I19" i="614"/>
  <c r="H19" i="614"/>
  <c r="D19" i="614"/>
  <c r="I20" i="614"/>
  <c r="H20" i="614"/>
  <c r="D20" i="614"/>
  <c r="I18" i="614"/>
  <c r="H18" i="614"/>
  <c r="D18" i="614"/>
  <c r="F11" i="614"/>
  <c r="K23" i="400"/>
  <c r="L23" i="400" s="1"/>
  <c r="I23" i="400"/>
  <c r="H23" i="400"/>
  <c r="D23" i="400"/>
  <c r="L18" i="614" l="1"/>
  <c r="L20" i="614"/>
  <c r="L19" i="614"/>
  <c r="L32" i="614" l="1"/>
  <c r="L33" i="614" l="1"/>
  <c r="L34" i="614" s="1"/>
  <c r="L35" i="614" l="1"/>
  <c r="L36" i="614" s="1"/>
  <c r="I26" i="51" l="1"/>
  <c r="H26" i="51"/>
  <c r="D26" i="51"/>
  <c r="C18" i="603" l="1"/>
  <c r="C21" i="603"/>
  <c r="K21" i="603" s="1"/>
  <c r="K19" i="331" l="1"/>
  <c r="L19" i="331" s="1"/>
  <c r="I19" i="331"/>
  <c r="H19" i="331"/>
  <c r="D19" i="331"/>
  <c r="C33" i="486"/>
  <c r="D33" i="486" s="1"/>
  <c r="C24" i="589"/>
  <c r="C22" i="589"/>
  <c r="K24" i="589" l="1"/>
  <c r="L24" i="589" s="1"/>
  <c r="D22" i="589"/>
  <c r="I33" i="486"/>
  <c r="H33" i="486"/>
  <c r="K33" i="486"/>
  <c r="L33" i="486" s="1"/>
  <c r="D24" i="589"/>
  <c r="I24" i="589"/>
  <c r="H24" i="589"/>
  <c r="I22" i="589"/>
  <c r="K22" i="589"/>
  <c r="H22" i="589"/>
  <c r="L22" i="589" l="1"/>
  <c r="K23" i="41" l="1"/>
  <c r="I23" i="41"/>
  <c r="H23" i="41"/>
  <c r="D23" i="41"/>
  <c r="K25" i="75"/>
  <c r="I25" i="75"/>
  <c r="H25" i="75"/>
  <c r="K21" i="75"/>
  <c r="I21" i="75"/>
  <c r="H21" i="75"/>
  <c r="D25" i="75"/>
  <c r="D21" i="75"/>
  <c r="L23" i="41" l="1"/>
  <c r="L25" i="75"/>
  <c r="L21" i="75"/>
  <c r="K21" i="391" l="1"/>
  <c r="I21" i="391"/>
  <c r="H21" i="391"/>
  <c r="K19" i="391"/>
  <c r="L19" i="391" s="1"/>
  <c r="I19" i="391"/>
  <c r="H19" i="391"/>
  <c r="L21" i="391" l="1"/>
  <c r="DA28" i="7"/>
  <c r="K23" i="588"/>
  <c r="L23" i="588" s="1"/>
  <c r="K24" i="330"/>
  <c r="I24" i="330"/>
  <c r="H24" i="330"/>
  <c r="D24" i="330"/>
  <c r="K31" i="330"/>
  <c r="I31" i="330"/>
  <c r="H31" i="330"/>
  <c r="K23" i="330"/>
  <c r="L23" i="330" s="1"/>
  <c r="I23" i="330"/>
  <c r="H23" i="330"/>
  <c r="K29" i="330"/>
  <c r="I29" i="330"/>
  <c r="H29" i="330"/>
  <c r="K19" i="330"/>
  <c r="L19" i="330" s="1"/>
  <c r="I19" i="330"/>
  <c r="H19" i="330"/>
  <c r="K20" i="330"/>
  <c r="I20" i="330"/>
  <c r="H20" i="330"/>
  <c r="K36" i="330"/>
  <c r="I36" i="330"/>
  <c r="H36" i="330"/>
  <c r="K32" i="330"/>
  <c r="L32" i="330" s="1"/>
  <c r="I32" i="330"/>
  <c r="H32" i="330"/>
  <c r="D31" i="330"/>
  <c r="L24" i="330" l="1"/>
  <c r="L36" i="330"/>
  <c r="L20" i="330"/>
  <c r="L29" i="330"/>
  <c r="L31" i="330"/>
  <c r="K19" i="340" l="1"/>
  <c r="I19" i="340"/>
  <c r="H19" i="340"/>
  <c r="D19" i="340"/>
  <c r="L19" i="340" l="1"/>
  <c r="K20" i="77" l="1"/>
  <c r="I20" i="77"/>
  <c r="H20" i="77"/>
  <c r="D20" i="77"/>
  <c r="L20" i="77" l="1"/>
  <c r="K18" i="480" l="1"/>
  <c r="K32" i="342" l="1"/>
  <c r="L32" i="342" s="1"/>
  <c r="I32" i="342"/>
  <c r="H32" i="342"/>
  <c r="D32" i="342"/>
  <c r="D19" i="330" l="1"/>
  <c r="DA473" i="7" l="1"/>
  <c r="D20" i="281"/>
  <c r="K22" i="560"/>
  <c r="L22" i="560" s="1"/>
  <c r="I22" i="560"/>
  <c r="H22" i="560"/>
  <c r="D22" i="560"/>
  <c r="K18" i="52" l="1"/>
  <c r="I18" i="52"/>
  <c r="H18" i="52"/>
  <c r="D18" i="52"/>
  <c r="L18" i="52" l="1"/>
  <c r="K21" i="560" l="1"/>
  <c r="L21" i="560" s="1"/>
  <c r="I21" i="560"/>
  <c r="H21" i="560"/>
  <c r="D21" i="560"/>
  <c r="K18" i="49"/>
  <c r="L18" i="49" s="1"/>
  <c r="I18" i="49"/>
  <c r="H18" i="49"/>
  <c r="D18" i="49"/>
  <c r="D21" i="391"/>
  <c r="D19" i="391"/>
  <c r="K18" i="246" l="1"/>
  <c r="L18" i="246" s="1"/>
  <c r="I18" i="246"/>
  <c r="H18" i="246"/>
  <c r="D18" i="246"/>
  <c r="I20" i="51" l="1"/>
  <c r="H20" i="51"/>
  <c r="I23" i="51"/>
  <c r="H23" i="51"/>
  <c r="D20" i="51"/>
  <c r="D23" i="51"/>
  <c r="K23" i="399"/>
  <c r="L23" i="399" s="1"/>
  <c r="I23" i="399"/>
  <c r="H23" i="399"/>
  <c r="D23" i="399"/>
  <c r="K18" i="608" l="1"/>
  <c r="K34" i="608"/>
  <c r="I18" i="608"/>
  <c r="H18" i="608"/>
  <c r="D18" i="608"/>
  <c r="F11" i="608"/>
  <c r="L18" i="608" l="1"/>
  <c r="L31" i="608" l="1"/>
  <c r="L32" i="608" s="1"/>
  <c r="L33" i="608" s="1"/>
  <c r="L34" i="608" l="1"/>
  <c r="L35" i="608" s="1"/>
  <c r="K20" i="75" l="1"/>
  <c r="I20" i="75"/>
  <c r="H20" i="75"/>
  <c r="D20" i="75"/>
  <c r="L20" i="75" l="1"/>
  <c r="K20" i="215" l="1"/>
  <c r="K19" i="215"/>
  <c r="C20" i="603"/>
  <c r="K20" i="603" s="1"/>
  <c r="K33" i="604" l="1"/>
  <c r="K19" i="604"/>
  <c r="I19" i="604"/>
  <c r="H19" i="604"/>
  <c r="D19" i="604"/>
  <c r="K18" i="604"/>
  <c r="I18" i="604"/>
  <c r="H18" i="604"/>
  <c r="D18" i="604"/>
  <c r="F11" i="604"/>
  <c r="K37" i="603"/>
  <c r="I18" i="603"/>
  <c r="H18" i="603"/>
  <c r="D18" i="603"/>
  <c r="F11" i="603"/>
  <c r="L20" i="603" l="1"/>
  <c r="L18" i="604"/>
  <c r="L19" i="604"/>
  <c r="K18" i="603"/>
  <c r="H21" i="603"/>
  <c r="I21" i="603"/>
  <c r="D20" i="603"/>
  <c r="D21" i="603"/>
  <c r="H20" i="603"/>
  <c r="I20" i="603"/>
  <c r="L30" i="604" l="1"/>
  <c r="L18" i="603"/>
  <c r="L21" i="603"/>
  <c r="L31" i="604" l="1"/>
  <c r="L32" i="604" s="1"/>
  <c r="L34" i="603"/>
  <c r="L36" i="603" s="1"/>
  <c r="L33" i="604" l="1"/>
  <c r="L34" i="604" s="1"/>
  <c r="L37" i="603"/>
  <c r="L38" i="603" s="1"/>
  <c r="K34" i="599"/>
  <c r="K18" i="599"/>
  <c r="M31" i="599" s="1"/>
  <c r="I18" i="599"/>
  <c r="H18" i="599"/>
  <c r="D18" i="599"/>
  <c r="F11" i="599"/>
  <c r="D18" i="387"/>
  <c r="K23" i="543"/>
  <c r="L23" i="543" s="1"/>
  <c r="I23" i="543"/>
  <c r="H23" i="543"/>
  <c r="K22" i="543"/>
  <c r="L22" i="543" s="1"/>
  <c r="I22" i="543"/>
  <c r="H22" i="543"/>
  <c r="K21" i="543"/>
  <c r="L21" i="543" s="1"/>
  <c r="I21" i="543"/>
  <c r="H21" i="543"/>
  <c r="D23" i="543"/>
  <c r="D22" i="543"/>
  <c r="D21" i="543"/>
  <c r="L18" i="599" l="1"/>
  <c r="L31" i="599" s="1"/>
  <c r="D20" i="330"/>
  <c r="D36" i="330"/>
  <c r="D23" i="330"/>
  <c r="D29" i="330"/>
  <c r="D32" i="330"/>
  <c r="L32" i="599" l="1"/>
  <c r="L33" i="599" s="1"/>
  <c r="L34" i="599" l="1"/>
  <c r="L35" i="599" s="1"/>
  <c r="K19" i="145"/>
  <c r="I19" i="145"/>
  <c r="H19" i="145"/>
  <c r="D19" i="145"/>
  <c r="K22" i="145"/>
  <c r="I22" i="145"/>
  <c r="H22" i="145"/>
  <c r="D22" i="145"/>
  <c r="L19" i="145" l="1"/>
  <c r="L22" i="145"/>
  <c r="K20" i="543"/>
  <c r="L20" i="543" s="1"/>
  <c r="I20" i="543"/>
  <c r="H20" i="543"/>
  <c r="D20" i="543"/>
  <c r="I19" i="543"/>
  <c r="H19" i="543"/>
  <c r="D19" i="543"/>
  <c r="K23" i="77"/>
  <c r="I23" i="77"/>
  <c r="H23" i="77"/>
  <c r="D23" i="77"/>
  <c r="C25" i="598"/>
  <c r="C24" i="598"/>
  <c r="I24" i="598" s="1"/>
  <c r="K37" i="598"/>
  <c r="C23" i="598"/>
  <c r="C22" i="598"/>
  <c r="D22" i="598" s="1"/>
  <c r="C21" i="598"/>
  <c r="H21" i="598" s="1"/>
  <c r="C20" i="598"/>
  <c r="I20" i="598" s="1"/>
  <c r="C19" i="598"/>
  <c r="K19" i="598" s="1"/>
  <c r="C18" i="598"/>
  <c r="I18" i="598" s="1"/>
  <c r="F11" i="598"/>
  <c r="L23" i="77" l="1"/>
  <c r="D25" i="598"/>
  <c r="H25" i="598"/>
  <c r="I25" i="598"/>
  <c r="K25" i="598"/>
  <c r="D24" i="598"/>
  <c r="H24" i="598"/>
  <c r="K24" i="598"/>
  <c r="D23" i="598"/>
  <c r="H22" i="598"/>
  <c r="K20" i="598"/>
  <c r="L20" i="598" s="1"/>
  <c r="H20" i="598"/>
  <c r="D20" i="598"/>
  <c r="L19" i="598"/>
  <c r="K21" i="598"/>
  <c r="I22" i="598"/>
  <c r="H23" i="598"/>
  <c r="K22" i="598"/>
  <c r="I23" i="598"/>
  <c r="K23" i="598"/>
  <c r="D18" i="598"/>
  <c r="H18" i="598"/>
  <c r="D19" i="598"/>
  <c r="K18" i="598"/>
  <c r="I19" i="598"/>
  <c r="I21" i="598"/>
  <c r="H19" i="598"/>
  <c r="D21" i="598"/>
  <c r="L25" i="598" l="1"/>
  <c r="L24" i="598"/>
  <c r="L21" i="598"/>
  <c r="L23" i="598"/>
  <c r="L18" i="598"/>
  <c r="L22" i="598"/>
  <c r="L34" i="598" l="1"/>
  <c r="L35" i="598" l="1"/>
  <c r="L36" i="598" s="1"/>
  <c r="L37" i="598" l="1"/>
  <c r="L38" i="598" s="1"/>
  <c r="I29" i="204" l="1"/>
  <c r="H29" i="204"/>
  <c r="D29" i="204"/>
  <c r="I28" i="204"/>
  <c r="H28" i="204"/>
  <c r="D28" i="204"/>
  <c r="I19" i="432"/>
  <c r="H19" i="432"/>
  <c r="D19" i="432"/>
  <c r="K18" i="442" l="1"/>
  <c r="I18" i="442"/>
  <c r="H18" i="442"/>
  <c r="D18" i="442"/>
  <c r="L18" i="442" l="1"/>
  <c r="K18" i="278" l="1"/>
  <c r="CS279" i="7"/>
  <c r="DA279" i="7"/>
  <c r="K19" i="239" l="1"/>
  <c r="I19" i="239"/>
  <c r="H19" i="239"/>
  <c r="D19" i="239"/>
  <c r="K19" i="294"/>
  <c r="I19" i="294"/>
  <c r="H19" i="294"/>
  <c r="L19" i="239" l="1"/>
  <c r="L19" i="294"/>
  <c r="I24" i="181" l="1"/>
  <c r="H24" i="181"/>
  <c r="D24" i="181"/>
  <c r="D27" i="277"/>
  <c r="I27" i="120" l="1"/>
  <c r="H27" i="120"/>
  <c r="D27" i="120"/>
  <c r="K20" i="120"/>
  <c r="K19" i="120"/>
  <c r="K18" i="120"/>
  <c r="C18" i="579" l="1"/>
  <c r="I23" i="588" l="1"/>
  <c r="H23" i="588"/>
  <c r="D23" i="588"/>
  <c r="K20" i="551" l="1"/>
  <c r="I20" i="551"/>
  <c r="H20" i="551"/>
  <c r="D20" i="551"/>
  <c r="L20" i="551" l="1"/>
  <c r="C19" i="189" l="1"/>
  <c r="D19" i="189" s="1"/>
  <c r="H19" i="189" l="1"/>
  <c r="I19" i="189"/>
  <c r="K19" i="189"/>
  <c r="L19" i="189" s="1"/>
  <c r="K18" i="594" l="1"/>
  <c r="K18" i="72" l="1"/>
  <c r="I18" i="72"/>
  <c r="D18" i="72"/>
  <c r="L18" i="72" l="1"/>
  <c r="C20" i="189" l="1"/>
  <c r="K18" i="77"/>
  <c r="I18" i="77"/>
  <c r="H18" i="77"/>
  <c r="D18" i="77"/>
  <c r="K19" i="76"/>
  <c r="I19" i="76"/>
  <c r="H19" i="76"/>
  <c r="D19" i="76"/>
  <c r="K19" i="338"/>
  <c r="I19" i="338"/>
  <c r="H19" i="338"/>
  <c r="D19" i="338"/>
  <c r="L18" i="77" l="1"/>
  <c r="L19" i="76"/>
  <c r="L19" i="338"/>
  <c r="K20" i="399" l="1"/>
  <c r="I20" i="399"/>
  <c r="H20" i="399"/>
  <c r="K19" i="399"/>
  <c r="I19" i="399"/>
  <c r="H19" i="399"/>
  <c r="D20" i="399"/>
  <c r="D19" i="399"/>
  <c r="H27" i="277"/>
  <c r="C26" i="366"/>
  <c r="D26" i="366" s="1"/>
  <c r="L19" i="399" l="1"/>
  <c r="L20" i="399"/>
  <c r="H26" i="366"/>
  <c r="I26" i="366"/>
  <c r="K26" i="366"/>
  <c r="L26" i="366" s="1"/>
  <c r="K18" i="113" l="1"/>
  <c r="I18" i="113"/>
  <c r="H18" i="113"/>
  <c r="D18" i="113"/>
  <c r="L18" i="113" l="1"/>
  <c r="L31" i="113" s="1"/>
  <c r="K18" i="583" l="1"/>
  <c r="K41" i="594" l="1"/>
  <c r="F11" i="594"/>
  <c r="L18" i="594" l="1"/>
  <c r="D18" i="594"/>
  <c r="I18" i="594"/>
  <c r="H18" i="594"/>
  <c r="L38" i="594" l="1"/>
  <c r="L40" i="594" s="1"/>
  <c r="L41" i="594" s="1"/>
  <c r="L42" i="594" s="1"/>
  <c r="K22" i="76" l="1"/>
  <c r="I22" i="76"/>
  <c r="H22" i="76"/>
  <c r="D22" i="76"/>
  <c r="K19" i="216"/>
  <c r="I19" i="216"/>
  <c r="H19" i="216"/>
  <c r="D19" i="216"/>
  <c r="L22" i="76" l="1"/>
  <c r="L19" i="216"/>
  <c r="K19" i="281" l="1"/>
  <c r="I19" i="281"/>
  <c r="H19" i="281"/>
  <c r="D19" i="281"/>
  <c r="L19" i="281" l="1"/>
  <c r="K39" i="590" l="1"/>
  <c r="C24" i="590"/>
  <c r="H24" i="590" s="1"/>
  <c r="C18" i="590"/>
  <c r="F11" i="590"/>
  <c r="K38" i="589"/>
  <c r="C23" i="589"/>
  <c r="C18" i="589"/>
  <c r="F11" i="589"/>
  <c r="K23" i="589" l="1"/>
  <c r="L23" i="589" s="1"/>
  <c r="I24" i="590"/>
  <c r="K24" i="590"/>
  <c r="L24" i="590" s="1"/>
  <c r="H18" i="590"/>
  <c r="I18" i="590"/>
  <c r="D24" i="590"/>
  <c r="D18" i="590"/>
  <c r="K18" i="590"/>
  <c r="D23" i="589"/>
  <c r="H18" i="589"/>
  <c r="I18" i="589"/>
  <c r="H23" i="589"/>
  <c r="K18" i="589"/>
  <c r="I23" i="589"/>
  <c r="D18" i="589"/>
  <c r="L18" i="590" l="1"/>
  <c r="L18" i="589"/>
  <c r="L36" i="590" l="1"/>
  <c r="L38" i="590" s="1"/>
  <c r="L35" i="589"/>
  <c r="L37" i="589" s="1"/>
  <c r="L39" i="590" l="1"/>
  <c r="L40" i="590" s="1"/>
  <c r="L38" i="589"/>
  <c r="L39" i="589" s="1"/>
  <c r="D21" i="400" l="1"/>
  <c r="H21" i="400"/>
  <c r="I21" i="400"/>
  <c r="K21" i="400"/>
  <c r="L21" i="400" s="1"/>
  <c r="D21" i="131" l="1"/>
  <c r="H21" i="131"/>
  <c r="I21" i="131"/>
  <c r="K21" i="131"/>
  <c r="L21" i="131" s="1"/>
  <c r="D20" i="131"/>
  <c r="H20" i="131"/>
  <c r="I20" i="131"/>
  <c r="K20" i="131"/>
  <c r="L20" i="131" s="1"/>
  <c r="I18" i="136" l="1"/>
  <c r="H18" i="136"/>
  <c r="D18" i="136"/>
  <c r="K19" i="551" l="1"/>
  <c r="DA189" i="7" l="1"/>
  <c r="CS189" i="7"/>
  <c r="K19" i="285"/>
  <c r="L19" i="285" s="1"/>
  <c r="I19" i="285"/>
  <c r="H19" i="285"/>
  <c r="D19" i="285"/>
  <c r="K18" i="270" l="1"/>
  <c r="L18" i="270" s="1"/>
  <c r="I18" i="270"/>
  <c r="H18" i="270"/>
  <c r="D18" i="270"/>
  <c r="K19" i="219" l="1"/>
  <c r="L19" i="219" s="1"/>
  <c r="I19" i="219"/>
  <c r="H19" i="219"/>
  <c r="D19" i="219"/>
  <c r="K24" i="145" l="1"/>
  <c r="L24" i="145" s="1"/>
  <c r="I24" i="145"/>
  <c r="H24" i="145"/>
  <c r="D24" i="145"/>
  <c r="I24" i="41" l="1"/>
  <c r="H24" i="41"/>
  <c r="D24" i="41"/>
  <c r="K19" i="280" l="1"/>
  <c r="I19" i="280"/>
  <c r="H19" i="280"/>
  <c r="D19" i="280"/>
  <c r="L19" i="280" l="1"/>
  <c r="K21" i="184" l="1"/>
  <c r="L21" i="184" s="1"/>
  <c r="I21" i="184"/>
  <c r="H21" i="184"/>
  <c r="D21" i="184"/>
  <c r="K19" i="217"/>
  <c r="I19" i="217"/>
  <c r="H19" i="217"/>
  <c r="K20" i="217"/>
  <c r="I20" i="217"/>
  <c r="H20" i="217"/>
  <c r="D19" i="217"/>
  <c r="D20" i="217"/>
  <c r="L19" i="217" l="1"/>
  <c r="L20" i="217"/>
  <c r="DA492" i="7" l="1"/>
  <c r="K26" i="139" l="1"/>
  <c r="I26" i="139"/>
  <c r="H26" i="139"/>
  <c r="D26" i="139"/>
  <c r="L26" i="139" l="1"/>
  <c r="H320" i="7" l="1"/>
  <c r="DA320" i="7" s="1"/>
  <c r="K20" i="281" l="1"/>
  <c r="I20" i="281"/>
  <c r="H20" i="281"/>
  <c r="L20" i="281" l="1"/>
  <c r="K22" i="236" l="1"/>
  <c r="I22" i="236"/>
  <c r="H22" i="236"/>
  <c r="D22" i="236"/>
  <c r="L22" i="236" l="1"/>
  <c r="K33" i="588" l="1"/>
  <c r="K18" i="588"/>
  <c r="I18" i="588"/>
  <c r="H18" i="588"/>
  <c r="D18" i="588"/>
  <c r="F11" i="588"/>
  <c r="DA308" i="7"/>
  <c r="L18" i="588" l="1"/>
  <c r="K19" i="499" l="1"/>
  <c r="I19" i="499"/>
  <c r="H19" i="499"/>
  <c r="D19" i="499"/>
  <c r="L19" i="499" l="1"/>
  <c r="K24" i="219" l="1"/>
  <c r="I24" i="219"/>
  <c r="H24" i="219"/>
  <c r="D24" i="219"/>
  <c r="K19" i="489"/>
  <c r="I19" i="489"/>
  <c r="H19" i="489"/>
  <c r="D19" i="489"/>
  <c r="L24" i="219" l="1"/>
  <c r="L19" i="489"/>
  <c r="K19" i="400" l="1"/>
  <c r="I19" i="400"/>
  <c r="H19" i="400"/>
  <c r="D19" i="400"/>
  <c r="I21" i="41"/>
  <c r="H21" i="41"/>
  <c r="D21" i="41"/>
  <c r="I21" i="51"/>
  <c r="H21" i="51"/>
  <c r="I22" i="51"/>
  <c r="H22" i="51"/>
  <c r="D21" i="51"/>
  <c r="D22" i="51"/>
  <c r="L19" i="400" l="1"/>
  <c r="DA491" i="7" l="1"/>
  <c r="H496" i="7"/>
  <c r="DA496" i="7" s="1"/>
  <c r="H494" i="7"/>
  <c r="DA494" i="7" s="1"/>
  <c r="DA260" i="7"/>
  <c r="CS280" i="7"/>
  <c r="H280" i="7"/>
  <c r="DA280" i="7" s="1"/>
  <c r="CS191" i="7"/>
  <c r="H191" i="7"/>
  <c r="DA191" i="7" s="1"/>
  <c r="DA361" i="7"/>
  <c r="DA269" i="7"/>
  <c r="H208" i="7" l="1"/>
  <c r="K19" i="543" l="1"/>
  <c r="L19" i="543" s="1"/>
  <c r="K18" i="294"/>
  <c r="I18" i="294"/>
  <c r="H18" i="294"/>
  <c r="D18" i="294"/>
  <c r="L18" i="294" l="1"/>
  <c r="K19" i="67" l="1"/>
  <c r="L19" i="67" s="1"/>
  <c r="I19" i="67"/>
  <c r="H19" i="67"/>
  <c r="D19" i="67"/>
  <c r="D18" i="215" l="1"/>
  <c r="DA360" i="7"/>
  <c r="N25" i="621" s="1"/>
  <c r="O25" i="621" s="1"/>
  <c r="P25" i="621" s="1"/>
  <c r="DA250" i="7"/>
  <c r="I19" i="215"/>
  <c r="H19" i="215"/>
  <c r="D19" i="215"/>
  <c r="N23" i="590" l="1"/>
  <c r="O23" i="590" s="1"/>
  <c r="P23" i="590" s="1"/>
  <c r="N19" i="217"/>
  <c r="O19" i="217" s="1"/>
  <c r="P19" i="217" s="1"/>
  <c r="L19" i="215"/>
  <c r="C18" i="233" l="1"/>
  <c r="DA483" i="7" l="1"/>
  <c r="CS246" i="7"/>
  <c r="CS245" i="7"/>
  <c r="BX245" i="7"/>
  <c r="BB245" i="7"/>
  <c r="DA186" i="7" l="1"/>
  <c r="CS186" i="7"/>
  <c r="BX186" i="7"/>
  <c r="DA450" i="7"/>
  <c r="DA479" i="7"/>
  <c r="DA477" i="7"/>
  <c r="BX477" i="7"/>
  <c r="BB477" i="7"/>
  <c r="K43" i="585" l="1"/>
  <c r="C18" i="585"/>
  <c r="I18" i="585" s="1"/>
  <c r="F11" i="585"/>
  <c r="K18" i="585" l="1"/>
  <c r="L18" i="585" s="1"/>
  <c r="D18" i="585"/>
  <c r="H18" i="585"/>
  <c r="DA434" i="7"/>
  <c r="H466" i="7"/>
  <c r="DA466" i="7" s="1"/>
  <c r="DA365" i="7"/>
  <c r="DA367" i="7"/>
  <c r="DA292" i="7"/>
  <c r="D18" i="579"/>
  <c r="DA24" i="7"/>
  <c r="K26" i="75"/>
  <c r="L26" i="75" s="1"/>
  <c r="I26" i="75"/>
  <c r="H26" i="75"/>
  <c r="K24" i="75"/>
  <c r="I24" i="75"/>
  <c r="H24" i="75"/>
  <c r="D26" i="75"/>
  <c r="D24" i="75"/>
  <c r="DA256" i="7"/>
  <c r="CS256" i="7"/>
  <c r="L24" i="75" l="1"/>
  <c r="L40" i="585" l="1"/>
  <c r="L42" i="585" s="1"/>
  <c r="L43" i="585" s="1"/>
  <c r="L44" i="585" s="1"/>
  <c r="K19" i="332" l="1"/>
  <c r="L19" i="332" s="1"/>
  <c r="I19" i="332"/>
  <c r="H19" i="332"/>
  <c r="D19" i="332"/>
  <c r="DA52" i="7" l="1"/>
  <c r="K36" i="583" l="1"/>
  <c r="I18" i="583"/>
  <c r="H18" i="583"/>
  <c r="D18" i="583"/>
  <c r="F11" i="583"/>
  <c r="L18" i="583" l="1"/>
  <c r="L33" i="583" l="1"/>
  <c r="L34" i="583" l="1"/>
  <c r="L35" i="583" s="1"/>
  <c r="L36" i="583" s="1"/>
  <c r="L37" i="583" s="1"/>
  <c r="DA338" i="7" l="1"/>
  <c r="K19" i="81"/>
  <c r="L19" i="81" s="1"/>
  <c r="I19" i="81"/>
  <c r="H19" i="81"/>
  <c r="D19" i="81"/>
  <c r="K20" i="145" l="1"/>
  <c r="I20" i="145"/>
  <c r="H20" i="145"/>
  <c r="D20" i="145"/>
  <c r="K18" i="280"/>
  <c r="I18" i="280"/>
  <c r="H18" i="280"/>
  <c r="D18" i="280"/>
  <c r="L20" i="145" l="1"/>
  <c r="L18" i="280"/>
  <c r="K27" i="219" l="1"/>
  <c r="L27" i="219" s="1"/>
  <c r="I27" i="219"/>
  <c r="H27" i="219"/>
  <c r="K26" i="219"/>
  <c r="L26" i="219" s="1"/>
  <c r="I26" i="219"/>
  <c r="H26" i="219"/>
  <c r="K25" i="219"/>
  <c r="L25" i="219" s="1"/>
  <c r="I25" i="219"/>
  <c r="H25" i="219"/>
  <c r="K22" i="219"/>
  <c r="I22" i="219"/>
  <c r="H22" i="219"/>
  <c r="K21" i="219"/>
  <c r="I21" i="219"/>
  <c r="H21" i="219"/>
  <c r="K20" i="219"/>
  <c r="L20" i="219" s="1"/>
  <c r="I20" i="219"/>
  <c r="H20" i="219"/>
  <c r="D27" i="219"/>
  <c r="D26" i="219"/>
  <c r="D25" i="219"/>
  <c r="D22" i="219"/>
  <c r="D21" i="219"/>
  <c r="D20" i="219"/>
  <c r="K19" i="75"/>
  <c r="L19" i="75" s="1"/>
  <c r="I19" i="75"/>
  <c r="H19" i="75"/>
  <c r="D19" i="75"/>
  <c r="L21" i="219" l="1"/>
  <c r="L22" i="219"/>
  <c r="K21" i="77" l="1"/>
  <c r="I21" i="77"/>
  <c r="H21" i="77"/>
  <c r="K22" i="77"/>
  <c r="L22" i="77" s="1"/>
  <c r="I22" i="77"/>
  <c r="H22" i="77"/>
  <c r="D21" i="77"/>
  <c r="D22" i="77"/>
  <c r="L21" i="77" l="1"/>
  <c r="K40" i="581" l="1"/>
  <c r="K18" i="581"/>
  <c r="I18" i="581"/>
  <c r="H18" i="581"/>
  <c r="D18" i="581"/>
  <c r="F11" i="581"/>
  <c r="L18" i="581" l="1"/>
  <c r="L37" i="581" l="1"/>
  <c r="L38" i="581" l="1"/>
  <c r="L39" i="581" s="1"/>
  <c r="L40" i="581" l="1"/>
  <c r="L41" i="581" s="1"/>
  <c r="H468" i="7" l="1"/>
  <c r="DA468" i="7" s="1"/>
  <c r="K18" i="579"/>
  <c r="K19" i="574"/>
  <c r="K18" i="574"/>
  <c r="K39" i="579"/>
  <c r="I18" i="579"/>
  <c r="H18" i="579"/>
  <c r="F11" i="579"/>
  <c r="L18" i="579" l="1"/>
  <c r="L36" i="579" l="1"/>
  <c r="L38" i="579" s="1"/>
  <c r="L39" i="579" l="1"/>
  <c r="L40" i="579" s="1"/>
  <c r="K19" i="432" l="1"/>
  <c r="L19" i="432" s="1"/>
  <c r="L30" i="588" l="1"/>
  <c r="L31" i="588" s="1"/>
  <c r="L32" i="588" s="1"/>
  <c r="L33" i="588" s="1"/>
  <c r="L34" i="588" s="1"/>
  <c r="H465" i="7"/>
  <c r="K21" i="549" l="1"/>
  <c r="I21" i="549"/>
  <c r="H21" i="549"/>
  <c r="I20" i="549"/>
  <c r="H20" i="549"/>
  <c r="K19" i="549"/>
  <c r="L19" i="549" s="1"/>
  <c r="I19" i="549"/>
  <c r="H19" i="549"/>
  <c r="K18" i="549"/>
  <c r="I18" i="549"/>
  <c r="H18" i="549"/>
  <c r="K18" i="550"/>
  <c r="I18" i="550"/>
  <c r="H18" i="550"/>
  <c r="I18" i="537"/>
  <c r="H18" i="537"/>
  <c r="K18" i="543"/>
  <c r="I18" i="543"/>
  <c r="H18" i="543"/>
  <c r="K36" i="574"/>
  <c r="I19" i="574"/>
  <c r="H19" i="574"/>
  <c r="D19" i="574"/>
  <c r="I18" i="574"/>
  <c r="H18" i="574"/>
  <c r="D18" i="574"/>
  <c r="F11" i="574"/>
  <c r="K18" i="537" l="1"/>
  <c r="L18" i="537" s="1"/>
  <c r="K20" i="549"/>
  <c r="L20" i="549" s="1"/>
  <c r="L21" i="549"/>
  <c r="L18" i="549"/>
  <c r="L18" i="550"/>
  <c r="L18" i="543"/>
  <c r="L18" i="574"/>
  <c r="L19" i="574"/>
  <c r="L33" i="574" l="1"/>
  <c r="L35" i="574" s="1"/>
  <c r="L36" i="537" l="1"/>
  <c r="L36" i="574"/>
  <c r="L37" i="574" s="1"/>
  <c r="K34" i="573" l="1"/>
  <c r="K18" i="573"/>
  <c r="F11" i="573"/>
  <c r="L18" i="573" l="1"/>
  <c r="H18" i="573"/>
  <c r="D18" i="573"/>
  <c r="I18" i="573"/>
  <c r="L31" i="573" l="1"/>
  <c r="L33" i="573" s="1"/>
  <c r="L34" i="573" s="1"/>
  <c r="L35" i="573" s="1"/>
  <c r="DA327" i="7" l="1"/>
  <c r="K33" i="570" l="1"/>
  <c r="K18" i="570"/>
  <c r="I18" i="570"/>
  <c r="H18" i="570"/>
  <c r="D18" i="570"/>
  <c r="F11" i="570"/>
  <c r="L18" i="570" l="1"/>
  <c r="L30" i="570" s="1"/>
  <c r="L31" i="570" l="1"/>
  <c r="L32" i="570" s="1"/>
  <c r="L33" i="570" l="1"/>
  <c r="L34" i="570" s="1"/>
  <c r="K23" i="75" l="1"/>
  <c r="L23" i="75" s="1"/>
  <c r="I23" i="75"/>
  <c r="H23" i="75"/>
  <c r="D23" i="75"/>
  <c r="D19" i="546"/>
  <c r="H19" i="546"/>
  <c r="I19" i="546"/>
  <c r="K19" i="546"/>
  <c r="L19" i="546" s="1"/>
  <c r="K19" i="282" l="1"/>
  <c r="L19" i="282" s="1"/>
  <c r="I19" i="282"/>
  <c r="H19" i="282"/>
  <c r="DA336" i="7" l="1"/>
  <c r="K19" i="293" l="1"/>
  <c r="L19" i="293" s="1"/>
  <c r="I19" i="293"/>
  <c r="H19" i="293"/>
  <c r="D19" i="293"/>
  <c r="H378" i="7" l="1"/>
  <c r="H376" i="7"/>
  <c r="K19" i="276"/>
  <c r="I19" i="276"/>
  <c r="H19" i="276"/>
  <c r="D19" i="276"/>
  <c r="L19" i="276" l="1"/>
  <c r="K40" i="560" l="1"/>
  <c r="K19" i="560"/>
  <c r="I19" i="560"/>
  <c r="H19" i="560"/>
  <c r="D19" i="560"/>
  <c r="K20" i="560"/>
  <c r="I20" i="560"/>
  <c r="H20" i="560"/>
  <c r="D20" i="560"/>
  <c r="K18" i="560"/>
  <c r="I18" i="560"/>
  <c r="H18" i="560"/>
  <c r="D18" i="560"/>
  <c r="F11" i="560"/>
  <c r="L18" i="560" l="1"/>
  <c r="L20" i="560"/>
  <c r="L19" i="560"/>
  <c r="L37" i="560" l="1"/>
  <c r="L38" i="560" l="1"/>
  <c r="L39" i="560" s="1"/>
  <c r="L40" i="560" l="1"/>
  <c r="L41" i="560" s="1"/>
  <c r="K20" i="139" l="1"/>
  <c r="L20" i="139" s="1"/>
  <c r="I20" i="139"/>
  <c r="H20" i="139"/>
  <c r="D20" i="139"/>
  <c r="K27" i="139"/>
  <c r="I27" i="139"/>
  <c r="H27" i="139"/>
  <c r="D27" i="139"/>
  <c r="L27" i="139" l="1"/>
  <c r="K39" i="556" l="1"/>
  <c r="K18" i="556"/>
  <c r="I18" i="556"/>
  <c r="H18" i="556"/>
  <c r="D18" i="556"/>
  <c r="F11" i="556"/>
  <c r="L18" i="556" l="1"/>
  <c r="L36" i="556" l="1"/>
  <c r="L37" i="556" s="1"/>
  <c r="L38" i="556" s="1"/>
  <c r="L39" i="556" l="1"/>
  <c r="L40" i="556" s="1"/>
  <c r="H18" i="176" l="1"/>
  <c r="K21" i="145" l="1"/>
  <c r="I21" i="145"/>
  <c r="H21" i="145"/>
  <c r="D21" i="145"/>
  <c r="L21" i="145" l="1"/>
  <c r="K18" i="551" l="1"/>
  <c r="K18" i="523"/>
  <c r="H395" i="7"/>
  <c r="DA395" i="7" s="1"/>
  <c r="L395" i="7"/>
  <c r="K38" i="551"/>
  <c r="F11" i="551"/>
  <c r="D18" i="551" l="1"/>
  <c r="D19" i="551"/>
  <c r="I18" i="551"/>
  <c r="H19" i="551"/>
  <c r="I19" i="551"/>
  <c r="H18" i="551"/>
  <c r="L19" i="551" l="1"/>
  <c r="L18" i="551"/>
  <c r="L35" i="551" l="1"/>
  <c r="L37" i="551" s="1"/>
  <c r="L38" i="551" l="1"/>
  <c r="L39" i="551" s="1"/>
  <c r="I20" i="189" l="1"/>
  <c r="D20" i="189" l="1"/>
  <c r="H20" i="189"/>
  <c r="K20" i="189"/>
  <c r="L20" i="189" l="1"/>
  <c r="H18" i="483" l="1"/>
  <c r="K37" i="550" l="1"/>
  <c r="D18" i="550"/>
  <c r="F11" i="550"/>
  <c r="D20" i="549"/>
  <c r="D21" i="549"/>
  <c r="K33" i="549"/>
  <c r="D19" i="549"/>
  <c r="D18" i="549"/>
  <c r="F11" i="549"/>
  <c r="D18" i="51" l="1"/>
  <c r="AZ328" i="7" l="1"/>
  <c r="AL328" i="7"/>
  <c r="I18" i="387" l="1"/>
  <c r="H18" i="387"/>
  <c r="H89" i="7" l="1"/>
  <c r="K33" i="546" l="1"/>
  <c r="K18" i="546"/>
  <c r="I18" i="546"/>
  <c r="H18" i="546"/>
  <c r="D18" i="546"/>
  <c r="F11" i="546"/>
  <c r="K31" i="544"/>
  <c r="K18" i="544"/>
  <c r="L18" i="544" s="1"/>
  <c r="I18" i="544"/>
  <c r="H18" i="544"/>
  <c r="D18" i="544"/>
  <c r="F11" i="544"/>
  <c r="K39" i="543"/>
  <c r="D18" i="543"/>
  <c r="F11" i="543"/>
  <c r="K21" i="124"/>
  <c r="I21" i="124"/>
  <c r="H21" i="124"/>
  <c r="D21" i="124"/>
  <c r="L18" i="546" l="1"/>
  <c r="L28" i="544"/>
  <c r="L21" i="124"/>
  <c r="L30" i="546" l="1"/>
  <c r="L29" i="544"/>
  <c r="L30" i="544" s="1"/>
  <c r="L31" i="546" l="1"/>
  <c r="L32" i="546" s="1"/>
  <c r="L31" i="544"/>
  <c r="L32" i="544" s="1"/>
  <c r="L33" i="546" l="1"/>
  <c r="L34" i="546" s="1"/>
  <c r="K19" i="314"/>
  <c r="I19" i="314"/>
  <c r="H19" i="314"/>
  <c r="D19" i="314"/>
  <c r="L19" i="314" l="1"/>
  <c r="K27" i="330" l="1"/>
  <c r="I27" i="330"/>
  <c r="H27" i="330"/>
  <c r="D27" i="330"/>
  <c r="L27" i="330" l="1"/>
  <c r="DA267" i="7"/>
  <c r="H56" i="7" l="1"/>
  <c r="Q38" i="542"/>
  <c r="K34" i="542"/>
  <c r="F11" i="542"/>
  <c r="D18" i="542" l="1"/>
  <c r="I18" i="542"/>
  <c r="H18" i="542"/>
  <c r="L18" i="542" l="1"/>
  <c r="K19" i="528"/>
  <c r="I19" i="528"/>
  <c r="H19" i="528"/>
  <c r="D19" i="528"/>
  <c r="O12" i="217"/>
  <c r="L31" i="542" l="1"/>
  <c r="L33" i="542" s="1"/>
  <c r="L19" i="528"/>
  <c r="L34" i="542" l="1"/>
  <c r="L35" i="542" l="1"/>
  <c r="L32" i="542"/>
  <c r="D18" i="537" l="1"/>
  <c r="K22" i="75"/>
  <c r="I22" i="75"/>
  <c r="H22" i="75"/>
  <c r="D22" i="75"/>
  <c r="L22" i="75" l="1"/>
  <c r="K34" i="541" l="1"/>
  <c r="K18" i="541"/>
  <c r="I18" i="541"/>
  <c r="H18" i="541"/>
  <c r="D18" i="541"/>
  <c r="F11" i="541"/>
  <c r="L18" i="541" l="1"/>
  <c r="F11" i="287"/>
  <c r="L31" i="541" l="1"/>
  <c r="L32" i="541" l="1"/>
  <c r="L33" i="541" s="1"/>
  <c r="L34" i="541" l="1"/>
  <c r="L35" i="541" s="1"/>
  <c r="BB498" i="7" l="1"/>
  <c r="BB497" i="7"/>
  <c r="BB495" i="7"/>
  <c r="K30" i="51" s="1"/>
  <c r="BB493" i="7"/>
  <c r="K29" i="51" s="1"/>
  <c r="BB478" i="7"/>
  <c r="BB476" i="7"/>
  <c r="BB472" i="7"/>
  <c r="BB460" i="7"/>
  <c r="BB453" i="7"/>
  <c r="BB438" i="7"/>
  <c r="BB433" i="7"/>
  <c r="BB431" i="7"/>
  <c r="BB389" i="7"/>
  <c r="BB384" i="7"/>
  <c r="BB383" i="7"/>
  <c r="BB362" i="7"/>
  <c r="BB278" i="7"/>
  <c r="BB276" i="7"/>
  <c r="BB263" i="7"/>
  <c r="BB259" i="7"/>
  <c r="BB257" i="7"/>
  <c r="BB255" i="7"/>
  <c r="BB241" i="7"/>
  <c r="BB237" i="7"/>
  <c r="BB235" i="7"/>
  <c r="BB227" i="7"/>
  <c r="BB213" i="7"/>
  <c r="BB197" i="7"/>
  <c r="BB190" i="7"/>
  <c r="BB148" i="7"/>
  <c r="BB88" i="7"/>
  <c r="BB32" i="7"/>
  <c r="BB23" i="7"/>
  <c r="BB22" i="7"/>
  <c r="BB11" i="7"/>
  <c r="K23" i="51" l="1"/>
  <c r="L23" i="51" s="1"/>
  <c r="K20" i="51"/>
  <c r="L20" i="51" s="1"/>
  <c r="K19" i="51"/>
  <c r="K26" i="51"/>
  <c r="L26" i="51" s="1"/>
  <c r="K28" i="51"/>
  <c r="L29" i="51"/>
  <c r="L30" i="51"/>
  <c r="K18" i="51"/>
  <c r="K21" i="51"/>
  <c r="K22" i="51"/>
  <c r="H190" i="7"/>
  <c r="C19" i="68"/>
  <c r="D19" i="68" s="1"/>
  <c r="L28" i="51" l="1"/>
  <c r="L19" i="51"/>
  <c r="L22" i="51"/>
  <c r="L21" i="51"/>
  <c r="I19" i="68"/>
  <c r="K19" i="68"/>
  <c r="H19" i="68"/>
  <c r="L19" i="68" l="1"/>
  <c r="K18" i="96" l="1"/>
  <c r="I18" i="96"/>
  <c r="H18" i="96"/>
  <c r="D18" i="96"/>
  <c r="K39" i="537"/>
  <c r="F11" i="537"/>
  <c r="L18" i="96" l="1"/>
  <c r="K18" i="534" l="1"/>
  <c r="K33" i="534"/>
  <c r="I18" i="534"/>
  <c r="H18" i="534"/>
  <c r="D18" i="534"/>
  <c r="F11" i="534"/>
  <c r="L18" i="534" l="1"/>
  <c r="L30" i="534" s="1"/>
  <c r="L31" i="534" l="1"/>
  <c r="L32" i="534" s="1"/>
  <c r="L33" i="534" l="1"/>
  <c r="L34" i="534" s="1"/>
  <c r="K18" i="181" l="1"/>
  <c r="L18" i="181" s="1"/>
  <c r="I18" i="181"/>
  <c r="H18" i="181"/>
  <c r="I27" i="90"/>
  <c r="H27" i="90"/>
  <c r="D27" i="90"/>
  <c r="I27" i="277" l="1"/>
  <c r="I26" i="90"/>
  <c r="H26" i="90"/>
  <c r="D26" i="90"/>
  <c r="H165" i="7" l="1"/>
  <c r="D19" i="120" l="1"/>
  <c r="H19" i="120"/>
  <c r="I19" i="120"/>
  <c r="L19" i="120"/>
  <c r="K20" i="511" l="1"/>
  <c r="I20" i="511"/>
  <c r="H20" i="511"/>
  <c r="D20" i="511"/>
  <c r="L20" i="511" l="1"/>
  <c r="K36" i="528"/>
  <c r="K18" i="528"/>
  <c r="I18" i="528"/>
  <c r="H18" i="528"/>
  <c r="D18" i="528"/>
  <c r="F11" i="528"/>
  <c r="K36" i="527"/>
  <c r="K18" i="527"/>
  <c r="I18" i="527"/>
  <c r="H18" i="527"/>
  <c r="D18" i="527"/>
  <c r="F11" i="527"/>
  <c r="L18" i="528" l="1"/>
  <c r="L33" i="528" s="1"/>
  <c r="L18" i="527"/>
  <c r="L33" i="527" l="1"/>
  <c r="L34" i="527" s="1"/>
  <c r="L35" i="527" s="1"/>
  <c r="L34" i="528"/>
  <c r="L35" i="528" s="1"/>
  <c r="L36" i="528" l="1"/>
  <c r="L37" i="528" s="1"/>
  <c r="L36" i="527"/>
  <c r="L37" i="527" s="1"/>
  <c r="G52" i="150" l="1"/>
  <c r="K34" i="525"/>
  <c r="I18" i="525"/>
  <c r="H18" i="525"/>
  <c r="D18" i="525"/>
  <c r="F11" i="525"/>
  <c r="D51" i="150"/>
  <c r="D50" i="150"/>
  <c r="L18" i="525" l="1"/>
  <c r="L31" i="525" s="1"/>
  <c r="L32" i="525" l="1"/>
  <c r="L33" i="525" s="1"/>
  <c r="L34" i="525" l="1"/>
  <c r="L35" i="525" s="1"/>
  <c r="DA200" i="524" l="1"/>
  <c r="DA195" i="524"/>
  <c r="DA194" i="524"/>
  <c r="K33" i="524"/>
  <c r="C18" i="524"/>
  <c r="K18" i="524" s="1"/>
  <c r="F11" i="524"/>
  <c r="L18" i="524" l="1"/>
  <c r="L30" i="524" s="1"/>
  <c r="D18" i="524"/>
  <c r="H18" i="524"/>
  <c r="I18" i="524"/>
  <c r="K33" i="523"/>
  <c r="N18" i="523"/>
  <c r="I18" i="523"/>
  <c r="H18" i="523"/>
  <c r="D18" i="523"/>
  <c r="F11" i="523"/>
  <c r="K33" i="522"/>
  <c r="N18" i="522"/>
  <c r="K18" i="522"/>
  <c r="I18" i="522"/>
  <c r="H18" i="522"/>
  <c r="D18" i="522"/>
  <c r="F11" i="522"/>
  <c r="K33" i="521"/>
  <c r="N18" i="521"/>
  <c r="K18" i="521"/>
  <c r="I18" i="521"/>
  <c r="H18" i="521"/>
  <c r="D18" i="521"/>
  <c r="F11" i="521"/>
  <c r="K33" i="520"/>
  <c r="N18" i="520"/>
  <c r="K18" i="520"/>
  <c r="L18" i="520" s="1"/>
  <c r="L30" i="520" s="1"/>
  <c r="I18" i="520"/>
  <c r="H18" i="520"/>
  <c r="D18" i="520"/>
  <c r="F11" i="520"/>
  <c r="K18" i="519"/>
  <c r="K33" i="519"/>
  <c r="N18" i="519"/>
  <c r="I18" i="519"/>
  <c r="H18" i="519"/>
  <c r="D18" i="519"/>
  <c r="F11" i="519"/>
  <c r="O18" i="521" l="1"/>
  <c r="P18" i="521" s="1"/>
  <c r="M30" i="521" s="1"/>
  <c r="O18" i="519"/>
  <c r="P18" i="519" s="1"/>
  <c r="M30" i="519" s="1"/>
  <c r="O18" i="522"/>
  <c r="P18" i="522" s="1"/>
  <c r="M30" i="522" s="1"/>
  <c r="O18" i="523"/>
  <c r="P18" i="523" s="1"/>
  <c r="M30" i="523" s="1"/>
  <c r="O18" i="520"/>
  <c r="P18" i="520" s="1"/>
  <c r="M30" i="520" s="1"/>
  <c r="N30" i="520" s="1"/>
  <c r="L31" i="524"/>
  <c r="L32" i="524" s="1"/>
  <c r="L18" i="523"/>
  <c r="L30" i="523" s="1"/>
  <c r="L18" i="522"/>
  <c r="L30" i="522" s="1"/>
  <c r="L18" i="521"/>
  <c r="L30" i="521" s="1"/>
  <c r="L31" i="520"/>
  <c r="L32" i="520" s="1"/>
  <c r="L18" i="519"/>
  <c r="L30" i="519" s="1"/>
  <c r="AZ319" i="7"/>
  <c r="N30" i="522" l="1"/>
  <c r="N30" i="521"/>
  <c r="N30" i="519"/>
  <c r="N30" i="523"/>
  <c r="L33" i="524"/>
  <c r="L34" i="524" s="1"/>
  <c r="L31" i="523"/>
  <c r="L32" i="523" s="1"/>
  <c r="L31" i="522"/>
  <c r="L32" i="522" s="1"/>
  <c r="L31" i="521"/>
  <c r="L32" i="521" s="1"/>
  <c r="L33" i="520"/>
  <c r="L34" i="520" s="1"/>
  <c r="L31" i="519"/>
  <c r="L32" i="519" s="1"/>
  <c r="L33" i="523" l="1"/>
  <c r="L34" i="523" s="1"/>
  <c r="L33" i="522"/>
  <c r="L34" i="522" s="1"/>
  <c r="L33" i="521"/>
  <c r="L34" i="521" s="1"/>
  <c r="L33" i="519"/>
  <c r="L34" i="519" s="1"/>
  <c r="K18" i="131" l="1"/>
  <c r="K19" i="511" l="1"/>
  <c r="I19" i="511"/>
  <c r="H19" i="511"/>
  <c r="D19" i="511"/>
  <c r="K19" i="512"/>
  <c r="I19" i="512"/>
  <c r="H19" i="512"/>
  <c r="D19" i="512"/>
  <c r="K34" i="512"/>
  <c r="K18" i="512"/>
  <c r="I18" i="512"/>
  <c r="H18" i="512"/>
  <c r="D18" i="512"/>
  <c r="F11" i="512"/>
  <c r="K34" i="511"/>
  <c r="K18" i="511"/>
  <c r="I18" i="511"/>
  <c r="H18" i="511"/>
  <c r="D18" i="511"/>
  <c r="F11" i="511"/>
  <c r="L19" i="511" l="1"/>
  <c r="L19" i="512"/>
  <c r="L18" i="512"/>
  <c r="L18" i="511"/>
  <c r="L31" i="511" l="1"/>
  <c r="L32" i="511" s="1"/>
  <c r="L33" i="511" s="1"/>
  <c r="L31" i="512"/>
  <c r="L32" i="512" l="1"/>
  <c r="L33" i="512" s="1"/>
  <c r="L34" i="512" s="1"/>
  <c r="L35" i="512" s="1"/>
  <c r="L34" i="511"/>
  <c r="L35" i="511" s="1"/>
  <c r="K18" i="466" l="1"/>
  <c r="K18" i="401"/>
  <c r="L18" i="51"/>
  <c r="I18" i="51"/>
  <c r="H18" i="51"/>
  <c r="DA463" i="7" l="1"/>
  <c r="D18" i="436" l="1"/>
  <c r="K33" i="501"/>
  <c r="K18" i="501"/>
  <c r="L18" i="501" s="1"/>
  <c r="L30" i="501" s="1"/>
  <c r="I18" i="501"/>
  <c r="H18" i="501"/>
  <c r="D18" i="501"/>
  <c r="F11" i="501"/>
  <c r="L31" i="501" l="1"/>
  <c r="L32" i="501" s="1"/>
  <c r="L33" i="501" l="1"/>
  <c r="L34" i="501" s="1"/>
  <c r="K32" i="499" l="1"/>
  <c r="K18" i="499"/>
  <c r="I18" i="499"/>
  <c r="H18" i="499"/>
  <c r="D18" i="499"/>
  <c r="F11" i="499"/>
  <c r="K18" i="494"/>
  <c r="I18" i="494"/>
  <c r="H18" i="494"/>
  <c r="D18" i="494"/>
  <c r="L18" i="499" l="1"/>
  <c r="L18" i="494"/>
  <c r="L29" i="499" l="1"/>
  <c r="L30" i="499" l="1"/>
  <c r="L31" i="499" s="1"/>
  <c r="L32" i="499" l="1"/>
  <c r="L33" i="499" s="1"/>
  <c r="K24" i="139" l="1"/>
  <c r="I24" i="139"/>
  <c r="H24" i="139"/>
  <c r="D24" i="139"/>
  <c r="N42" i="139"/>
  <c r="L24" i="139" l="1"/>
  <c r="K18" i="273" l="1"/>
  <c r="L18" i="273" s="1"/>
  <c r="BX328" i="7" l="1"/>
  <c r="H196" i="7"/>
  <c r="H202" i="7"/>
  <c r="DA167" i="7" l="1"/>
  <c r="D18" i="67"/>
  <c r="K18" i="217" l="1"/>
  <c r="K18" i="400" l="1"/>
  <c r="K20" i="64"/>
  <c r="I20" i="64"/>
  <c r="H20" i="64"/>
  <c r="D20" i="64"/>
  <c r="K19" i="64"/>
  <c r="I19" i="64"/>
  <c r="H19" i="64"/>
  <c r="D19" i="64"/>
  <c r="L20" i="64" l="1"/>
  <c r="L19" i="64"/>
  <c r="K33" i="82" l="1"/>
  <c r="K35" i="243"/>
  <c r="K33" i="426"/>
  <c r="K33" i="346"/>
  <c r="K41" i="342"/>
  <c r="K33" i="338"/>
  <c r="K35" i="339"/>
  <c r="K33" i="340"/>
  <c r="K37" i="334"/>
  <c r="K31" i="321"/>
  <c r="K34" i="314"/>
  <c r="K34" i="311"/>
  <c r="K32" i="294"/>
  <c r="K33" i="293"/>
  <c r="K33" i="292"/>
  <c r="K33" i="291"/>
  <c r="K33" i="290"/>
  <c r="K32" i="287"/>
  <c r="K29" i="286"/>
  <c r="K32" i="285"/>
  <c r="K40" i="283"/>
  <c r="K34" i="282"/>
  <c r="K34" i="281"/>
  <c r="K31" i="280"/>
  <c r="K35" i="277"/>
  <c r="K33" i="276"/>
  <c r="K32" i="274"/>
  <c r="K33" i="273"/>
  <c r="K34" i="269"/>
  <c r="K35" i="268"/>
  <c r="K32" i="255"/>
  <c r="K33" i="452"/>
  <c r="K30" i="237"/>
  <c r="K33" i="233"/>
  <c r="K32" i="236"/>
  <c r="K35" i="238"/>
  <c r="K33" i="239"/>
  <c r="K43" i="486"/>
  <c r="K39" i="246"/>
  <c r="K30" i="248"/>
  <c r="K32" i="249"/>
  <c r="K37" i="278"/>
  <c r="K35" i="235"/>
  <c r="K34" i="331"/>
  <c r="K32" i="232"/>
  <c r="K32" i="230"/>
  <c r="K33" i="228"/>
  <c r="K29" i="227"/>
  <c r="K30" i="222"/>
  <c r="K30" i="221"/>
  <c r="K47" i="219"/>
  <c r="K39" i="370"/>
  <c r="K35" i="217"/>
  <c r="K32" i="216"/>
  <c r="K43" i="215"/>
  <c r="K33" i="214"/>
  <c r="K33" i="422"/>
  <c r="K32" i="209"/>
  <c r="K32" i="483"/>
  <c r="K33" i="434"/>
  <c r="K33" i="453"/>
  <c r="K37" i="204"/>
  <c r="K38" i="445"/>
  <c r="K36" i="436"/>
  <c r="K33" i="428"/>
  <c r="K39" i="429"/>
  <c r="K35" i="433"/>
  <c r="K37" i="189"/>
  <c r="K42" i="188"/>
  <c r="K42" i="187"/>
  <c r="K38" i="432"/>
  <c r="K42" i="185"/>
  <c r="K35" i="184"/>
  <c r="K36" i="182"/>
  <c r="K34" i="181"/>
  <c r="K32" i="180"/>
  <c r="K42" i="179"/>
  <c r="K37" i="176"/>
  <c r="K36" i="174"/>
  <c r="K34" i="427"/>
  <c r="K38" i="169"/>
  <c r="K34" i="424"/>
  <c r="K31" i="421"/>
  <c r="K31" i="416"/>
  <c r="K33" i="414"/>
  <c r="K32" i="164"/>
  <c r="K33" i="413"/>
  <c r="K33" i="478"/>
  <c r="K33" i="466"/>
  <c r="K37" i="477"/>
  <c r="K42" i="159"/>
  <c r="K35" i="443"/>
  <c r="K34" i="442"/>
  <c r="K43" i="441"/>
  <c r="K37" i="150"/>
  <c r="K42" i="171"/>
  <c r="K33" i="157"/>
  <c r="K35" i="145"/>
  <c r="K33" i="412"/>
  <c r="K33" i="494"/>
  <c r="K31" i="103"/>
  <c r="K35" i="102"/>
  <c r="K36" i="378"/>
  <c r="K45" i="96"/>
  <c r="K37" i="329"/>
  <c r="K33" i="68"/>
  <c r="K33" i="489"/>
  <c r="K36" i="67"/>
  <c r="K42" i="94"/>
  <c r="K45" i="44"/>
  <c r="K33" i="409"/>
  <c r="K42" i="47"/>
  <c r="K34" i="46"/>
  <c r="K42" i="45"/>
  <c r="K33" i="53"/>
  <c r="K34" i="119"/>
  <c r="K34" i="401"/>
  <c r="K46" i="72"/>
  <c r="K36" i="90"/>
  <c r="K35" i="97"/>
  <c r="K40" i="75"/>
  <c r="K50" i="330"/>
  <c r="K44" i="52"/>
  <c r="K36" i="400"/>
  <c r="K29" i="263"/>
  <c r="K34" i="396"/>
  <c r="K31" i="121"/>
  <c r="K38" i="78"/>
  <c r="K34" i="130"/>
  <c r="K40" i="42"/>
  <c r="K32" i="116"/>
  <c r="K32" i="117"/>
  <c r="K33" i="81"/>
  <c r="K35" i="391"/>
  <c r="K44" i="49"/>
  <c r="K34" i="50"/>
  <c r="K39" i="136"/>
  <c r="K42" i="197"/>
  <c r="K38" i="387"/>
  <c r="K29" i="388"/>
  <c r="K47" i="380"/>
  <c r="K40" i="51"/>
  <c r="K36" i="36"/>
  <c r="K34" i="146"/>
  <c r="K39" i="41"/>
  <c r="K32" i="124"/>
  <c r="K38" i="366"/>
  <c r="K36" i="56"/>
  <c r="K42" i="123"/>
  <c r="K34" i="77"/>
  <c r="K34" i="76"/>
  <c r="K34" i="131"/>
  <c r="K34" i="113"/>
  <c r="K37" i="120"/>
  <c r="K39" i="481"/>
  <c r="K35" i="376"/>
  <c r="K36" i="70"/>
  <c r="K31" i="106"/>
  <c r="K34" i="480"/>
  <c r="K39" i="92"/>
  <c r="K36" i="64"/>
  <c r="K33" i="66"/>
  <c r="K32" i="65"/>
  <c r="K38" i="399"/>
  <c r="K38" i="270"/>
  <c r="K41" i="73"/>
  <c r="K42" i="74"/>
  <c r="K38" i="84"/>
  <c r="K43" i="83"/>
  <c r="K33" i="332"/>
  <c r="K30" i="86"/>
  <c r="K33" i="108"/>
  <c r="M1" i="74"/>
  <c r="M1" i="84"/>
  <c r="M1" i="83"/>
  <c r="M1" i="332"/>
  <c r="M1" i="86"/>
  <c r="K18" i="391" l="1"/>
  <c r="L30" i="494" l="1"/>
  <c r="F11" i="494"/>
  <c r="L31" i="494" l="1"/>
  <c r="L32" i="494" s="1"/>
  <c r="L33" i="494" l="1"/>
  <c r="L34" i="494" s="1"/>
  <c r="H459" i="7" l="1"/>
  <c r="K18" i="489" l="1"/>
  <c r="I18" i="489"/>
  <c r="H18" i="489"/>
  <c r="D18" i="489"/>
  <c r="F11" i="489"/>
  <c r="L18" i="489" l="1"/>
  <c r="L30" i="489" l="1"/>
  <c r="L31" i="489" s="1"/>
  <c r="L32" i="489" s="1"/>
  <c r="L33" i="489" l="1"/>
  <c r="L34" i="489" s="1"/>
  <c r="F11" i="366" l="1"/>
  <c r="F11" i="486"/>
  <c r="F11" i="189"/>
  <c r="F11" i="329"/>
  <c r="Q47" i="486"/>
  <c r="C18" i="486"/>
  <c r="K18" i="486" s="1"/>
  <c r="L18" i="486" l="1"/>
  <c r="L40" i="486" s="1"/>
  <c r="H18" i="486"/>
  <c r="I18" i="486"/>
  <c r="D18" i="486"/>
  <c r="L42" i="486" l="1"/>
  <c r="L43" i="486" l="1"/>
  <c r="L44" i="486" s="1"/>
  <c r="K18" i="483" l="1"/>
  <c r="L18" i="483" s="1"/>
  <c r="I18" i="483"/>
  <c r="D18" i="483"/>
  <c r="F11" i="483"/>
  <c r="L29" i="483" l="1"/>
  <c r="L30" i="483" s="1"/>
  <c r="L31" i="483" s="1"/>
  <c r="L32" i="483" l="1"/>
  <c r="L33" i="483" s="1"/>
  <c r="K21" i="478" l="1"/>
  <c r="I21" i="478"/>
  <c r="H21" i="478"/>
  <c r="K20" i="478"/>
  <c r="I20" i="478"/>
  <c r="H20" i="478"/>
  <c r="K19" i="478"/>
  <c r="I19" i="478"/>
  <c r="H19" i="478"/>
  <c r="K18" i="478"/>
  <c r="I18" i="478"/>
  <c r="H18" i="478"/>
  <c r="K18" i="477"/>
  <c r="L20" i="478" l="1"/>
  <c r="L19" i="478"/>
  <c r="L21" i="478"/>
  <c r="L18" i="478"/>
  <c r="I20" i="120" l="1"/>
  <c r="H20" i="120"/>
  <c r="D20" i="120"/>
  <c r="L20" i="120" l="1"/>
  <c r="H72" i="7" l="1"/>
  <c r="H318" i="7"/>
  <c r="H319" i="7" s="1"/>
  <c r="DA319" i="7" s="1"/>
  <c r="K18" i="339" l="1"/>
  <c r="L18" i="339" s="1"/>
  <c r="I18" i="339"/>
  <c r="H18" i="339"/>
  <c r="D18" i="339"/>
  <c r="H212" i="7"/>
  <c r="K18" i="481"/>
  <c r="L18" i="481" s="1"/>
  <c r="L36" i="481" s="1"/>
  <c r="I18" i="481"/>
  <c r="H18" i="481"/>
  <c r="D18" i="481"/>
  <c r="F11" i="481"/>
  <c r="L37" i="481" l="1"/>
  <c r="L38" i="481" s="1"/>
  <c r="I27" i="480"/>
  <c r="H27" i="480"/>
  <c r="D27" i="480"/>
  <c r="L18" i="480"/>
  <c r="L31" i="480" s="1"/>
  <c r="I18" i="480"/>
  <c r="H18" i="480"/>
  <c r="D18" i="480"/>
  <c r="F11" i="480"/>
  <c r="N9" i="480"/>
  <c r="L39" i="481" l="1"/>
  <c r="L40" i="481" s="1"/>
  <c r="L32" i="480"/>
  <c r="L33" i="480" s="1"/>
  <c r="L34" i="480" l="1"/>
  <c r="L35" i="480" s="1"/>
  <c r="H333" i="7" l="1"/>
  <c r="H332" i="7"/>
  <c r="H334" i="7"/>
  <c r="H328" i="7"/>
  <c r="DA469" i="7"/>
  <c r="H462" i="7"/>
  <c r="DA462" i="7" s="1"/>
  <c r="H461" i="7"/>
  <c r="DA461" i="7" s="1"/>
  <c r="D21" i="478" l="1"/>
  <c r="D20" i="478"/>
  <c r="D19" i="478"/>
  <c r="D18" i="478"/>
  <c r="F11" i="478"/>
  <c r="I18" i="477"/>
  <c r="H18" i="477"/>
  <c r="D18" i="477"/>
  <c r="F11" i="477"/>
  <c r="L36" i="543" l="1"/>
  <c r="L37" i="543" s="1"/>
  <c r="L38" i="543" s="1"/>
  <c r="L39" i="543" s="1"/>
  <c r="L40" i="543" s="1"/>
  <c r="L18" i="477"/>
  <c r="L30" i="478" l="1"/>
  <c r="L34" i="477"/>
  <c r="L31" i="478" l="1"/>
  <c r="L32" i="478" s="1"/>
  <c r="L35" i="477"/>
  <c r="L36" i="477" s="1"/>
  <c r="L33" i="478" l="1"/>
  <c r="L34" i="478" s="1"/>
  <c r="L37" i="477"/>
  <c r="L38" i="477" s="1"/>
  <c r="H313" i="7" l="1"/>
  <c r="DA313" i="7" s="1"/>
  <c r="I18" i="441"/>
  <c r="H18" i="441"/>
  <c r="D18" i="441"/>
  <c r="K18" i="94" l="1"/>
  <c r="I18" i="94"/>
  <c r="H18" i="94"/>
  <c r="D18" i="94"/>
  <c r="L18" i="94" l="1"/>
  <c r="L39" i="94" s="1"/>
  <c r="H464" i="7" l="1"/>
  <c r="D18" i="282"/>
  <c r="I18" i="466" l="1"/>
  <c r="H18" i="466"/>
  <c r="D18" i="466"/>
  <c r="F11" i="466"/>
  <c r="DA341" i="7"/>
  <c r="DA335" i="7"/>
  <c r="DA334" i="7"/>
  <c r="DA333" i="7"/>
  <c r="DA332" i="7"/>
  <c r="L18" i="466" l="1"/>
  <c r="L30" i="466" l="1"/>
  <c r="L31" i="466" s="1"/>
  <c r="L32" i="466" s="1"/>
  <c r="L33" i="466" l="1"/>
  <c r="L34" i="466" s="1"/>
  <c r="H18" i="217" l="1"/>
  <c r="K22" i="139" l="1"/>
  <c r="I22" i="139"/>
  <c r="H22" i="139"/>
  <c r="D22" i="139"/>
  <c r="K18" i="78"/>
  <c r="L22" i="139" l="1"/>
  <c r="K23" i="219" l="1"/>
  <c r="I23" i="219"/>
  <c r="H23" i="219"/>
  <c r="D23" i="219"/>
  <c r="L23" i="219" l="1"/>
  <c r="D18" i="285" l="1"/>
  <c r="K22" i="290" l="1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O21" i="290" l="1"/>
  <c r="P21" i="290" s="1"/>
  <c r="L21" i="290"/>
  <c r="L22" i="290"/>
  <c r="L41" i="52" l="1"/>
  <c r="K18" i="436" l="1"/>
  <c r="I18" i="436"/>
  <c r="H18" i="436"/>
  <c r="L18" i="436" l="1"/>
  <c r="I20" i="215" l="1"/>
  <c r="H20" i="215"/>
  <c r="D20" i="215"/>
  <c r="K19" i="90" l="1"/>
  <c r="L19" i="90" s="1"/>
  <c r="I19" i="90"/>
  <c r="H19" i="90"/>
  <c r="D19" i="90"/>
  <c r="D18" i="453" l="1"/>
  <c r="K18" i="453"/>
  <c r="L18" i="453" s="1"/>
  <c r="L30" i="453" s="1"/>
  <c r="L32" i="453" s="1"/>
  <c r="I18" i="453"/>
  <c r="H18" i="453"/>
  <c r="F11" i="453"/>
  <c r="L33" i="453" l="1"/>
  <c r="L34" i="453" s="1"/>
  <c r="L36" i="246" l="1"/>
  <c r="D19" i="290" l="1"/>
  <c r="K18" i="145" l="1"/>
  <c r="DA471" i="7" l="1"/>
  <c r="K18" i="44" l="1"/>
  <c r="I18" i="44"/>
  <c r="H18" i="44"/>
  <c r="DA177" i="7"/>
  <c r="L18" i="44" l="1"/>
  <c r="DA104" i="7" l="1"/>
  <c r="K18" i="285" l="1"/>
  <c r="I18" i="285"/>
  <c r="H18" i="285"/>
  <c r="L18" i="285" l="1"/>
  <c r="H9" i="7" l="1"/>
  <c r="K19" i="274" l="1"/>
  <c r="L19" i="274" s="1"/>
  <c r="I19" i="274"/>
  <c r="H19" i="274"/>
  <c r="D19" i="274"/>
  <c r="K18" i="81" l="1"/>
  <c r="L18" i="81" s="1"/>
  <c r="I18" i="81"/>
  <c r="H18" i="81"/>
  <c r="D18" i="81"/>
  <c r="K19" i="290"/>
  <c r="I19" i="290"/>
  <c r="H19" i="290"/>
  <c r="L19" i="290" l="1"/>
  <c r="F11" i="452" l="1"/>
  <c r="K18" i="452"/>
  <c r="I18" i="452"/>
  <c r="H18" i="452"/>
  <c r="D18" i="452"/>
  <c r="DA176" i="7"/>
  <c r="L18" i="452" l="1"/>
  <c r="L30" i="452" l="1"/>
  <c r="L31" i="452" l="1"/>
  <c r="L32" i="452" s="1"/>
  <c r="L33" i="452" l="1"/>
  <c r="L34" i="452" s="1"/>
  <c r="K20" i="184" l="1"/>
  <c r="I20" i="184"/>
  <c r="H20" i="184"/>
  <c r="D20" i="184"/>
  <c r="L20" i="184" l="1"/>
  <c r="DA326" i="7" l="1"/>
  <c r="L33" i="436" l="1"/>
  <c r="DA325" i="7" l="1"/>
  <c r="N22" i="290" l="1"/>
  <c r="O22" i="290" s="1"/>
  <c r="P22" i="290" s="1"/>
  <c r="H467" i="7" l="1"/>
  <c r="DA467" i="7" s="1"/>
  <c r="AQ467" i="7"/>
  <c r="DA475" i="7"/>
  <c r="K20" i="445" l="1"/>
  <c r="I20" i="445"/>
  <c r="H20" i="445"/>
  <c r="D20" i="445"/>
  <c r="L20" i="445" l="1"/>
  <c r="I19" i="426" l="1"/>
  <c r="H19" i="426"/>
  <c r="D19" i="426"/>
  <c r="Q40" i="445" l="1"/>
  <c r="F11" i="445"/>
  <c r="K19" i="445" l="1"/>
  <c r="K18" i="445"/>
  <c r="I18" i="445"/>
  <c r="I19" i="445"/>
  <c r="D18" i="445"/>
  <c r="H18" i="445"/>
  <c r="D19" i="445"/>
  <c r="H19" i="445"/>
  <c r="L18" i="445" l="1"/>
  <c r="L19" i="445"/>
  <c r="L35" i="445" l="1"/>
  <c r="L36" i="445" s="1"/>
  <c r="L37" i="445" s="1"/>
  <c r="L38" i="445" l="1"/>
  <c r="L39" i="445" s="1"/>
  <c r="K18" i="399" l="1"/>
  <c r="I18" i="399"/>
  <c r="H18" i="399"/>
  <c r="D18" i="399"/>
  <c r="L18" i="399" l="1"/>
  <c r="H506" i="7" l="1"/>
  <c r="K18" i="443" l="1"/>
  <c r="L18" i="443" s="1"/>
  <c r="I18" i="443"/>
  <c r="H18" i="443"/>
  <c r="D18" i="443"/>
  <c r="F11" i="443"/>
  <c r="F11" i="442"/>
  <c r="F11" i="441"/>
  <c r="K18" i="441" l="1"/>
  <c r="L18" i="441" s="1"/>
  <c r="L32" i="443"/>
  <c r="L40" i="441" l="1"/>
  <c r="L33" i="443"/>
  <c r="L34" i="443" s="1"/>
  <c r="L35" i="443" l="1"/>
  <c r="L36" i="443" s="1"/>
  <c r="K18" i="255" l="1"/>
  <c r="D18" i="380" l="1"/>
  <c r="D18" i="338" l="1"/>
  <c r="D18" i="330" l="1"/>
  <c r="D18" i="291" l="1"/>
  <c r="K18" i="117" l="1"/>
  <c r="L18" i="117" s="1"/>
  <c r="I18" i="117"/>
  <c r="H18" i="117"/>
  <c r="D18" i="117"/>
  <c r="DA520" i="7" l="1"/>
  <c r="DA519" i="7"/>
  <c r="DA518" i="7"/>
  <c r="DA517" i="7"/>
  <c r="DA516" i="7"/>
  <c r="DA515" i="7"/>
  <c r="DA514" i="7"/>
  <c r="DA513" i="7"/>
  <c r="DA512" i="7"/>
  <c r="DA511" i="7"/>
  <c r="DA510" i="7"/>
  <c r="DA509" i="7"/>
  <c r="DA508" i="7"/>
  <c r="DA507" i="7"/>
  <c r="DA506" i="7"/>
  <c r="DA505" i="7"/>
  <c r="DA504" i="7"/>
  <c r="DA503" i="7"/>
  <c r="DA502" i="7"/>
  <c r="DA501" i="7"/>
  <c r="DA500" i="7"/>
  <c r="DA499" i="7"/>
  <c r="DA498" i="7"/>
  <c r="DA490" i="7"/>
  <c r="DA486" i="7"/>
  <c r="N30" i="621" s="1"/>
  <c r="O30" i="621" s="1"/>
  <c r="P30" i="621" s="1"/>
  <c r="DA485" i="7"/>
  <c r="DA484" i="7"/>
  <c r="DA482" i="7"/>
  <c r="DA481" i="7"/>
  <c r="DA478" i="7"/>
  <c r="N39" i="330" s="1"/>
  <c r="O39" i="330" s="1"/>
  <c r="P39" i="330" s="1"/>
  <c r="DA476" i="7"/>
  <c r="DA474" i="7"/>
  <c r="DA472" i="7"/>
  <c r="DA460" i="7"/>
  <c r="DA456" i="7"/>
  <c r="DA455" i="7"/>
  <c r="DA453" i="7"/>
  <c r="N33" i="83" s="1"/>
  <c r="O33" i="83" s="1"/>
  <c r="P33" i="83" s="1"/>
  <c r="DA452" i="7"/>
  <c r="DA451" i="7"/>
  <c r="DA449" i="7"/>
  <c r="DA447" i="7"/>
  <c r="DA446" i="7"/>
  <c r="DA445" i="7"/>
  <c r="DA441" i="7"/>
  <c r="N20" i="70" s="1"/>
  <c r="O20" i="70" s="1"/>
  <c r="P20" i="70" s="1"/>
  <c r="DA439" i="7"/>
  <c r="DA438" i="7"/>
  <c r="DA436" i="7"/>
  <c r="DA435" i="7"/>
  <c r="DA433" i="7"/>
  <c r="DA430" i="7"/>
  <c r="DA424" i="7"/>
  <c r="DA423" i="7"/>
  <c r="DA422" i="7"/>
  <c r="DA421" i="7"/>
  <c r="DA420" i="7"/>
  <c r="DA419" i="7"/>
  <c r="DA418" i="7"/>
  <c r="N32" i="380" s="1"/>
  <c r="O32" i="380" s="1"/>
  <c r="P32" i="380" s="1"/>
  <c r="DA417" i="7"/>
  <c r="DA416" i="7"/>
  <c r="DA415" i="7"/>
  <c r="DA414" i="7"/>
  <c r="DA413" i="7"/>
  <c r="DA412" i="7"/>
  <c r="DA410" i="7"/>
  <c r="DA408" i="7"/>
  <c r="DA407" i="7"/>
  <c r="DA406" i="7"/>
  <c r="DA405" i="7"/>
  <c r="DA404" i="7"/>
  <c r="DA403" i="7"/>
  <c r="DA402" i="7"/>
  <c r="DA401" i="7"/>
  <c r="DA400" i="7"/>
  <c r="DA399" i="7"/>
  <c r="DA398" i="7"/>
  <c r="DA397" i="7"/>
  <c r="DA396" i="7"/>
  <c r="DA394" i="7"/>
  <c r="DA392" i="7"/>
  <c r="DA391" i="7"/>
  <c r="DA390" i="7"/>
  <c r="DA389" i="7"/>
  <c r="DA388" i="7"/>
  <c r="DA387" i="7"/>
  <c r="DA386" i="7"/>
  <c r="DA385" i="7"/>
  <c r="DA384" i="7"/>
  <c r="DA383" i="7"/>
  <c r="N26" i="537" s="1"/>
  <c r="O26" i="537" s="1"/>
  <c r="P26" i="537" s="1"/>
  <c r="DA382" i="7"/>
  <c r="DA381" i="7"/>
  <c r="DA380" i="7"/>
  <c r="DA378" i="7"/>
  <c r="DA376" i="7"/>
  <c r="DA374" i="7"/>
  <c r="DA373" i="7"/>
  <c r="DA371" i="7"/>
  <c r="DA370" i="7"/>
  <c r="DA369" i="7"/>
  <c r="N37" i="219" s="1"/>
  <c r="O37" i="219" s="1"/>
  <c r="P37" i="219" s="1"/>
  <c r="DA368" i="7"/>
  <c r="DA366" i="7"/>
  <c r="DA364" i="7"/>
  <c r="DA363" i="7"/>
  <c r="DA362" i="7"/>
  <c r="DA356" i="7"/>
  <c r="DA355" i="7"/>
  <c r="DA352" i="7"/>
  <c r="DA350" i="7"/>
  <c r="DA347" i="7"/>
  <c r="DA345" i="7"/>
  <c r="DA343" i="7"/>
  <c r="DA331" i="7"/>
  <c r="DA328" i="7"/>
  <c r="DA324" i="7"/>
  <c r="DA323" i="7"/>
  <c r="DA322" i="7"/>
  <c r="DA321" i="7"/>
  <c r="DA317" i="7"/>
  <c r="DA315" i="7"/>
  <c r="DA314" i="7"/>
  <c r="DA311" i="7"/>
  <c r="DA310" i="7"/>
  <c r="DA307" i="7"/>
  <c r="DA306" i="7"/>
  <c r="DA305" i="7"/>
  <c r="DA304" i="7"/>
  <c r="DA303" i="7"/>
  <c r="DA302" i="7"/>
  <c r="DA301" i="7"/>
  <c r="DA300" i="7"/>
  <c r="DA299" i="7"/>
  <c r="DA298" i="7"/>
  <c r="DA296" i="7"/>
  <c r="DA295" i="7"/>
  <c r="DA294" i="7"/>
  <c r="DA293" i="7"/>
  <c r="DA291" i="7"/>
  <c r="DA290" i="7"/>
  <c r="DA288" i="7"/>
  <c r="DA285" i="7"/>
  <c r="DA284" i="7"/>
  <c r="DA283" i="7"/>
  <c r="DA281" i="7"/>
  <c r="DA275" i="7"/>
  <c r="DA273" i="7"/>
  <c r="DA272" i="7"/>
  <c r="DA270" i="7"/>
  <c r="DA268" i="7"/>
  <c r="DA266" i="7"/>
  <c r="N23" i="145" s="1"/>
  <c r="O23" i="145" s="1"/>
  <c r="P23" i="145" s="1"/>
  <c r="DA263" i="7"/>
  <c r="DA262" i="7"/>
  <c r="DA259" i="7"/>
  <c r="DA257" i="7"/>
  <c r="DA255" i="7"/>
  <c r="N21" i="617" s="1"/>
  <c r="O21" i="617" s="1"/>
  <c r="P21" i="617" s="1"/>
  <c r="DA254" i="7"/>
  <c r="DA253" i="7"/>
  <c r="N20" i="90" s="1"/>
  <c r="O20" i="90" s="1"/>
  <c r="P20" i="90" s="1"/>
  <c r="DA252" i="7"/>
  <c r="N29" i="380" s="1"/>
  <c r="O29" i="380" s="1"/>
  <c r="P29" i="380" s="1"/>
  <c r="DA249" i="7"/>
  <c r="DA244" i="7"/>
  <c r="DA240" i="7"/>
  <c r="DA236" i="7"/>
  <c r="DA235" i="7"/>
  <c r="N22" i="41" s="1"/>
  <c r="O22" i="41" s="1"/>
  <c r="P22" i="41" s="1"/>
  <c r="DA234" i="7"/>
  <c r="DA230" i="7"/>
  <c r="DA226" i="7"/>
  <c r="DA220" i="7"/>
  <c r="DA219" i="7"/>
  <c r="DA218" i="7"/>
  <c r="DA211" i="7"/>
  <c r="DA209" i="7"/>
  <c r="DA208" i="7"/>
  <c r="DA206" i="7"/>
  <c r="DA188" i="7"/>
  <c r="DA187" i="7"/>
  <c r="DA185" i="7"/>
  <c r="N19" i="640" s="1"/>
  <c r="O19" i="640" s="1"/>
  <c r="P19" i="640" s="1"/>
  <c r="DA184" i="7"/>
  <c r="DA183" i="7"/>
  <c r="DA175" i="7"/>
  <c r="DA174" i="7"/>
  <c r="DA173" i="7"/>
  <c r="DA172" i="7"/>
  <c r="DA171" i="7"/>
  <c r="DA170" i="7"/>
  <c r="DA169" i="7"/>
  <c r="DA168" i="7"/>
  <c r="DA166" i="7"/>
  <c r="DA165" i="7"/>
  <c r="DA164" i="7"/>
  <c r="DA163" i="7"/>
  <c r="DA162" i="7"/>
  <c r="DA160" i="7"/>
  <c r="DA158" i="7"/>
  <c r="DA157" i="7"/>
  <c r="DA156" i="7"/>
  <c r="DA155" i="7"/>
  <c r="DA151" i="7"/>
  <c r="DA150" i="7"/>
  <c r="N22" i="330" s="1"/>
  <c r="O22" i="330" s="1"/>
  <c r="P22" i="330" s="1"/>
  <c r="DA149" i="7"/>
  <c r="DA147" i="7"/>
  <c r="DA146" i="7"/>
  <c r="DA144" i="7"/>
  <c r="DA143" i="7"/>
  <c r="DA141" i="7"/>
  <c r="DA140" i="7"/>
  <c r="DA135" i="7"/>
  <c r="DA134" i="7"/>
  <c r="DA133" i="7"/>
  <c r="DA128" i="7"/>
  <c r="DA126" i="7"/>
  <c r="DA122" i="7"/>
  <c r="DA121" i="7"/>
  <c r="DA120" i="7"/>
  <c r="DA117" i="7"/>
  <c r="DA116" i="7"/>
  <c r="DA114" i="7"/>
  <c r="DA109" i="7"/>
  <c r="DA106" i="7"/>
  <c r="DA103" i="7"/>
  <c r="DA102" i="7"/>
  <c r="DA92" i="7"/>
  <c r="DA91" i="7"/>
  <c r="DA90" i="7"/>
  <c r="DA87" i="7"/>
  <c r="DA86" i="7"/>
  <c r="DA74" i="7"/>
  <c r="N21" i="380" s="1"/>
  <c r="O21" i="380" s="1"/>
  <c r="P21" i="380" s="1"/>
  <c r="DA73" i="7"/>
  <c r="DA72" i="7"/>
  <c r="DA71" i="7"/>
  <c r="DA70" i="7"/>
  <c r="DA68" i="7"/>
  <c r="N31" i="621" s="1"/>
  <c r="O31" i="621" s="1"/>
  <c r="P31" i="621" s="1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1" i="7"/>
  <c r="N19" i="287" s="1"/>
  <c r="O19" i="287" s="1"/>
  <c r="P19" i="287" s="1"/>
  <c r="DA49" i="7"/>
  <c r="DA48" i="7"/>
  <c r="DA47" i="7"/>
  <c r="DA46" i="7"/>
  <c r="DA45" i="7"/>
  <c r="DA44" i="7"/>
  <c r="DA43" i="7"/>
  <c r="DA42" i="7"/>
  <c r="DA41" i="7"/>
  <c r="DA40" i="7"/>
  <c r="DA39" i="7"/>
  <c r="N18" i="401" s="1"/>
  <c r="O18" i="401" s="1"/>
  <c r="P18" i="401" s="1"/>
  <c r="DA38" i="7"/>
  <c r="DA37" i="7"/>
  <c r="DA36" i="7"/>
  <c r="DA35" i="7"/>
  <c r="DA34" i="7"/>
  <c r="DA33" i="7"/>
  <c r="DA31" i="7"/>
  <c r="DA27" i="7"/>
  <c r="DA26" i="7"/>
  <c r="DA25" i="7"/>
  <c r="DA23" i="7"/>
  <c r="N18" i="640" s="1"/>
  <c r="DA22" i="7"/>
  <c r="DA21" i="7"/>
  <c r="DA19" i="7"/>
  <c r="DA18" i="7"/>
  <c r="DA17" i="7"/>
  <c r="DA16" i="7"/>
  <c r="DA15" i="7"/>
  <c r="DA14" i="7"/>
  <c r="DA13" i="7"/>
  <c r="N19" i="621" s="1"/>
  <c r="O19" i="621" s="1"/>
  <c r="P19" i="621" s="1"/>
  <c r="DA12" i="7"/>
  <c r="DA11" i="7"/>
  <c r="DA10" i="7"/>
  <c r="DA7" i="7"/>
  <c r="DA4" i="7"/>
  <c r="H76" i="7"/>
  <c r="DA76" i="7" s="1"/>
  <c r="H139" i="7"/>
  <c r="DA139" i="7" s="1"/>
  <c r="DA459" i="7"/>
  <c r="F11" i="436"/>
  <c r="R18" i="640" l="1"/>
  <c r="S18" i="640"/>
  <c r="O18" i="640"/>
  <c r="P18" i="640" s="1"/>
  <c r="M29" i="640" s="1"/>
  <c r="N29" i="640" s="1"/>
  <c r="N26" i="590"/>
  <c r="O26" i="590" s="1"/>
  <c r="P26" i="590" s="1"/>
  <c r="N27" i="621"/>
  <c r="O27" i="621" s="1"/>
  <c r="P27" i="621" s="1"/>
  <c r="N19" i="78"/>
  <c r="O19" i="78" s="1"/>
  <c r="P19" i="78" s="1"/>
  <c r="N29" i="621"/>
  <c r="O29" i="621" s="1"/>
  <c r="P29" i="621" s="1"/>
  <c r="N26" i="41"/>
  <c r="O26" i="41" s="1"/>
  <c r="P26" i="41" s="1"/>
  <c r="N24" i="621"/>
  <c r="O24" i="621" s="1"/>
  <c r="P24" i="621" s="1"/>
  <c r="N19" i="588"/>
  <c r="O19" i="588" s="1"/>
  <c r="P19" i="588" s="1"/>
  <c r="N22" i="380"/>
  <c r="O22" i="380" s="1"/>
  <c r="P22" i="380" s="1"/>
  <c r="N19" i="380"/>
  <c r="O19" i="380" s="1"/>
  <c r="P19" i="380" s="1"/>
  <c r="N38" i="330"/>
  <c r="O38" i="330" s="1"/>
  <c r="P38" i="330" s="1"/>
  <c r="N35" i="380"/>
  <c r="O35" i="380" s="1"/>
  <c r="P35" i="380" s="1"/>
  <c r="N19" i="239"/>
  <c r="O19" i="239" s="1"/>
  <c r="P19" i="239" s="1"/>
  <c r="N21" i="590"/>
  <c r="O21" i="590" s="1"/>
  <c r="P21" i="590" s="1"/>
  <c r="N24" i="617"/>
  <c r="O24" i="617" s="1"/>
  <c r="P24" i="617" s="1"/>
  <c r="N31" i="380"/>
  <c r="O31" i="380" s="1"/>
  <c r="P31" i="380" s="1"/>
  <c r="N27" i="41"/>
  <c r="O27" i="41" s="1"/>
  <c r="P27" i="41" s="1"/>
  <c r="N25" i="590"/>
  <c r="O25" i="590" s="1"/>
  <c r="P25" i="590" s="1"/>
  <c r="N36" i="380"/>
  <c r="O36" i="380" s="1"/>
  <c r="P36" i="380" s="1"/>
  <c r="N30" i="617"/>
  <c r="O30" i="617" s="1"/>
  <c r="P30" i="617" s="1"/>
  <c r="N21" i="44"/>
  <c r="O21" i="44" s="1"/>
  <c r="P21" i="44" s="1"/>
  <c r="N33" i="330"/>
  <c r="O33" i="330" s="1"/>
  <c r="P33" i="330" s="1"/>
  <c r="N40" i="219"/>
  <c r="O40" i="219" s="1"/>
  <c r="P40" i="219" s="1"/>
  <c r="N31" i="44"/>
  <c r="O31" i="44" s="1"/>
  <c r="P31" i="44" s="1"/>
  <c r="N29" i="83"/>
  <c r="O29" i="83" s="1"/>
  <c r="P29" i="83" s="1"/>
  <c r="N36" i="219"/>
  <c r="O36" i="219" s="1"/>
  <c r="P36" i="219" s="1"/>
  <c r="N19" i="83"/>
  <c r="O19" i="83" s="1"/>
  <c r="P19" i="83" s="1"/>
  <c r="N28" i="366"/>
  <c r="O28" i="366" s="1"/>
  <c r="P28" i="366" s="1"/>
  <c r="N23" i="83"/>
  <c r="O23" i="83" s="1"/>
  <c r="P23" i="83" s="1"/>
  <c r="N24" i="618"/>
  <c r="O24" i="618" s="1"/>
  <c r="P24" i="618" s="1"/>
  <c r="N25" i="589"/>
  <c r="O25" i="589" s="1"/>
  <c r="P25" i="589" s="1"/>
  <c r="N25" i="618"/>
  <c r="O25" i="618" s="1"/>
  <c r="P25" i="618" s="1"/>
  <c r="N19" i="44"/>
  <c r="O19" i="44" s="1"/>
  <c r="P19" i="44" s="1"/>
  <c r="N30" i="44"/>
  <c r="O30" i="44" s="1"/>
  <c r="P30" i="44" s="1"/>
  <c r="N33" i="219"/>
  <c r="O33" i="219" s="1"/>
  <c r="P33" i="219" s="1"/>
  <c r="N20" i="618"/>
  <c r="O20" i="618" s="1"/>
  <c r="P20" i="618" s="1"/>
  <c r="N19" i="619"/>
  <c r="O19" i="619" s="1"/>
  <c r="P19" i="619" s="1"/>
  <c r="N35" i="619"/>
  <c r="O35" i="619" s="1"/>
  <c r="P35" i="619" s="1"/>
  <c r="N31" i="619"/>
  <c r="O31" i="619" s="1"/>
  <c r="P31" i="619" s="1"/>
  <c r="N38" i="219"/>
  <c r="O38" i="219" s="1"/>
  <c r="P38" i="219" s="1"/>
  <c r="N34" i="619"/>
  <c r="O34" i="619" s="1"/>
  <c r="P34" i="619" s="1"/>
  <c r="N33" i="619"/>
  <c r="O33" i="619" s="1"/>
  <c r="P33" i="619" s="1"/>
  <c r="N36" i="619"/>
  <c r="O36" i="619" s="1"/>
  <c r="P36" i="619" s="1"/>
  <c r="N32" i="619"/>
  <c r="O32" i="619" s="1"/>
  <c r="P32" i="619" s="1"/>
  <c r="N22" i="634"/>
  <c r="O22" i="634" s="1"/>
  <c r="P22" i="634" s="1"/>
  <c r="N20" i="634"/>
  <c r="O20" i="634" s="1"/>
  <c r="P20" i="634" s="1"/>
  <c r="N18" i="634"/>
  <c r="O18" i="634" s="1"/>
  <c r="P18" i="634" s="1"/>
  <c r="N23" i="634"/>
  <c r="O23" i="634" s="1"/>
  <c r="P23" i="634" s="1"/>
  <c r="N21" i="634"/>
  <c r="O21" i="634" s="1"/>
  <c r="P21" i="634" s="1"/>
  <c r="N21" i="511"/>
  <c r="O21" i="511" s="1"/>
  <c r="P21" i="511" s="1"/>
  <c r="N29" i="139"/>
  <c r="O29" i="139" s="1"/>
  <c r="P29" i="139" s="1"/>
  <c r="N35" i="219"/>
  <c r="O35" i="219" s="1"/>
  <c r="P35" i="219" s="1"/>
  <c r="N27" i="537"/>
  <c r="O27" i="537" s="1"/>
  <c r="P27" i="537" s="1"/>
  <c r="N23" i="189"/>
  <c r="O23" i="189" s="1"/>
  <c r="P23" i="189" s="1"/>
  <c r="N28" i="51"/>
  <c r="O28" i="51" s="1"/>
  <c r="P28" i="51" s="1"/>
  <c r="N24" i="51"/>
  <c r="O24" i="51" s="1"/>
  <c r="P24" i="51" s="1"/>
  <c r="N19" i="614"/>
  <c r="O19" i="614" s="1"/>
  <c r="P19" i="614" s="1"/>
  <c r="N18" i="623"/>
  <c r="O18" i="623" s="1"/>
  <c r="P18" i="623" s="1"/>
  <c r="M32" i="623" s="1"/>
  <c r="N32" i="623" s="1"/>
  <c r="N18" i="624"/>
  <c r="O18" i="624" s="1"/>
  <c r="P18" i="624" s="1"/>
  <c r="M32" i="624" s="1"/>
  <c r="N32" i="624" s="1"/>
  <c r="N18" i="617"/>
  <c r="R18" i="617" s="1"/>
  <c r="N18" i="614"/>
  <c r="O18" i="614" s="1"/>
  <c r="P18" i="614" s="1"/>
  <c r="N22" i="124"/>
  <c r="O22" i="124" s="1"/>
  <c r="P22" i="124" s="1"/>
  <c r="N20" i="598"/>
  <c r="O20" i="598" s="1"/>
  <c r="P20" i="598" s="1"/>
  <c r="N20" i="445"/>
  <c r="O20" i="445" s="1"/>
  <c r="P20" i="445" s="1"/>
  <c r="N20" i="614"/>
  <c r="O20" i="614" s="1"/>
  <c r="P20" i="614" s="1"/>
  <c r="N26" i="51"/>
  <c r="O26" i="51" s="1"/>
  <c r="P26" i="51" s="1"/>
  <c r="N19" i="340"/>
  <c r="O19" i="340" s="1"/>
  <c r="P19" i="340" s="1"/>
  <c r="N18" i="608"/>
  <c r="O18" i="608" s="1"/>
  <c r="P18" i="608" s="1"/>
  <c r="N20" i="551"/>
  <c r="O20" i="551" s="1"/>
  <c r="P20" i="551" s="1"/>
  <c r="N22" i="598"/>
  <c r="O22" i="598" s="1"/>
  <c r="P22" i="598" s="1"/>
  <c r="N24" i="598"/>
  <c r="O24" i="598" s="1"/>
  <c r="P24" i="598" s="1"/>
  <c r="N18" i="598"/>
  <c r="O18" i="598" s="1"/>
  <c r="P18" i="598" s="1"/>
  <c r="N25" i="598"/>
  <c r="O25" i="598" s="1"/>
  <c r="P25" i="598" s="1"/>
  <c r="N19" i="294"/>
  <c r="O19" i="294" s="1"/>
  <c r="P19" i="294" s="1"/>
  <c r="N21" i="598"/>
  <c r="O21" i="598" s="1"/>
  <c r="P21" i="598" s="1"/>
  <c r="N19" i="216"/>
  <c r="O19" i="216" s="1"/>
  <c r="P19" i="216" s="1"/>
  <c r="N18" i="294"/>
  <c r="O18" i="294" s="1"/>
  <c r="P18" i="294" s="1"/>
  <c r="N19" i="499"/>
  <c r="O19" i="499" s="1"/>
  <c r="P19" i="499" s="1"/>
  <c r="N19" i="489"/>
  <c r="O19" i="489" s="1"/>
  <c r="P19" i="489" s="1"/>
  <c r="N19" i="215"/>
  <c r="O19" i="215" s="1"/>
  <c r="P19" i="215" s="1"/>
  <c r="N18" i="263"/>
  <c r="N19" i="549"/>
  <c r="O19" i="549" s="1"/>
  <c r="P19" i="549" s="1"/>
  <c r="N20" i="549"/>
  <c r="O20" i="549" s="1"/>
  <c r="P20" i="549" s="1"/>
  <c r="N19" i="574"/>
  <c r="O19" i="574" s="1"/>
  <c r="P19" i="574" s="1"/>
  <c r="N18" i="549"/>
  <c r="O18" i="549" s="1"/>
  <c r="P18" i="549" s="1"/>
  <c r="N19" i="546"/>
  <c r="O19" i="546" s="1"/>
  <c r="P19" i="546" s="1"/>
  <c r="N18" i="542"/>
  <c r="O18" i="542" s="1"/>
  <c r="P18" i="542" s="1"/>
  <c r="M31" i="542" s="1"/>
  <c r="N31" i="542" s="1"/>
  <c r="N18" i="525"/>
  <c r="O18" i="525" s="1"/>
  <c r="P18" i="525" s="1"/>
  <c r="M31" i="525" s="1"/>
  <c r="N20" i="511"/>
  <c r="O20" i="511" s="1"/>
  <c r="P20" i="511" s="1"/>
  <c r="N18" i="528"/>
  <c r="O18" i="528" s="1"/>
  <c r="P18" i="528" s="1"/>
  <c r="N19" i="512"/>
  <c r="O19" i="512" s="1"/>
  <c r="P19" i="512" s="1"/>
  <c r="N18" i="512"/>
  <c r="O18" i="512" s="1"/>
  <c r="P18" i="512" s="1"/>
  <c r="N18" i="501"/>
  <c r="O18" i="501" s="1"/>
  <c r="P18" i="501" s="1"/>
  <c r="M30" i="501" s="1"/>
  <c r="N30" i="501" s="1"/>
  <c r="N20" i="64"/>
  <c r="O20" i="64" s="1"/>
  <c r="P20" i="64" s="1"/>
  <c r="R21" i="90"/>
  <c r="N18" i="483"/>
  <c r="O18" i="483" s="1"/>
  <c r="P18" i="483" s="1"/>
  <c r="N20" i="478"/>
  <c r="O20" i="478" s="1"/>
  <c r="P20" i="478" s="1"/>
  <c r="N21" i="478"/>
  <c r="O21" i="478" s="1"/>
  <c r="P21" i="478" s="1"/>
  <c r="N18" i="481"/>
  <c r="O18" i="481" s="1"/>
  <c r="P18" i="481" s="1"/>
  <c r="M36" i="481" s="1"/>
  <c r="N36" i="481" s="1"/>
  <c r="N20" i="290"/>
  <c r="O20" i="290" s="1"/>
  <c r="P20" i="290" s="1"/>
  <c r="N20" i="215"/>
  <c r="N18" i="453"/>
  <c r="O18" i="453" s="1"/>
  <c r="P18" i="453" s="1"/>
  <c r="M30" i="453" s="1"/>
  <c r="N30" i="453" s="1"/>
  <c r="N18" i="445"/>
  <c r="O18" i="445" s="1"/>
  <c r="P18" i="445" s="1"/>
  <c r="N19" i="274"/>
  <c r="O19" i="274" s="1"/>
  <c r="P19" i="274" s="1"/>
  <c r="N19" i="290"/>
  <c r="O19" i="290" s="1"/>
  <c r="P19" i="290" s="1"/>
  <c r="N19" i="445"/>
  <c r="O19" i="445" s="1"/>
  <c r="P19" i="445" s="1"/>
  <c r="M32" i="614" l="1"/>
  <c r="O18" i="617"/>
  <c r="P18" i="617" s="1"/>
  <c r="M37" i="560"/>
  <c r="M29" i="483"/>
  <c r="R18" i="542"/>
  <c r="M31" i="512"/>
  <c r="N31" i="512" s="1"/>
  <c r="R18" i="445"/>
  <c r="H75" i="7"/>
  <c r="DA75" i="7" l="1"/>
  <c r="L34" i="436"/>
  <c r="L35" i="436" s="1"/>
  <c r="L36" i="436" l="1"/>
  <c r="L37" i="436" s="1"/>
  <c r="H18" i="330" l="1"/>
  <c r="I18" i="330"/>
  <c r="K18" i="330"/>
  <c r="L18" i="330" s="1"/>
  <c r="L47" i="330" s="1"/>
  <c r="K18" i="434" l="1"/>
  <c r="I18" i="434"/>
  <c r="H18" i="434"/>
  <c r="D18" i="434"/>
  <c r="F11" i="434"/>
  <c r="L18" i="434" l="1"/>
  <c r="L30" i="434" s="1"/>
  <c r="L31" i="434" l="1"/>
  <c r="L32" i="434" s="1"/>
  <c r="L33" i="434" l="1"/>
  <c r="L34" i="434" s="1"/>
  <c r="K18" i="433" l="1"/>
  <c r="L18" i="433" s="1"/>
  <c r="I18" i="433"/>
  <c r="H18" i="433"/>
  <c r="D18" i="433"/>
  <c r="F11" i="433"/>
  <c r="I18" i="432"/>
  <c r="H18" i="432"/>
  <c r="D18" i="432"/>
  <c r="F11" i="432"/>
  <c r="L32" i="433" l="1"/>
  <c r="L33" i="433" s="1"/>
  <c r="L34" i="433" s="1"/>
  <c r="L35" i="433" l="1"/>
  <c r="L36" i="433" s="1"/>
  <c r="K18" i="342" l="1"/>
  <c r="I18" i="342"/>
  <c r="H18" i="342"/>
  <c r="D18" i="342"/>
  <c r="L18" i="342" l="1"/>
  <c r="L38" i="342" s="1"/>
  <c r="L32" i="339" l="1"/>
  <c r="K23" i="139" l="1"/>
  <c r="K30" i="139"/>
  <c r="K28" i="139"/>
  <c r="K19" i="139"/>
  <c r="K18" i="139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19" i="269" l="1"/>
  <c r="I19" i="269"/>
  <c r="H19" i="269"/>
  <c r="D19" i="269"/>
  <c r="L19" i="269" l="1"/>
  <c r="DA464" i="7" l="1"/>
  <c r="DA465" i="7"/>
  <c r="N28" i="621" s="1"/>
  <c r="O28" i="621" s="1"/>
  <c r="P28" i="621" s="1"/>
  <c r="N37" i="330" l="1"/>
  <c r="O37" i="330" s="1"/>
  <c r="P37" i="330" s="1"/>
  <c r="N33" i="380"/>
  <c r="O33" i="380" s="1"/>
  <c r="P33" i="380" s="1"/>
  <c r="N39" i="219"/>
  <c r="O39" i="219" s="1"/>
  <c r="P39" i="219" s="1"/>
  <c r="N18" i="543"/>
  <c r="O18" i="543" s="1"/>
  <c r="P18" i="543" s="1"/>
  <c r="N18" i="541"/>
  <c r="O18" i="541" s="1"/>
  <c r="P18" i="541" s="1"/>
  <c r="M31" i="541" l="1"/>
  <c r="N31" i="541" s="1"/>
  <c r="R20" i="422" l="1"/>
  <c r="K18" i="422"/>
  <c r="L18" i="422" s="1"/>
  <c r="L30" i="422" s="1"/>
  <c r="I18" i="422"/>
  <c r="H18" i="422"/>
  <c r="D18" i="422"/>
  <c r="F11" i="422"/>
  <c r="K18" i="421"/>
  <c r="I18" i="421"/>
  <c r="H18" i="421"/>
  <c r="D18" i="421"/>
  <c r="F11" i="421"/>
  <c r="L31" i="422" l="1"/>
  <c r="L32" i="422" s="1"/>
  <c r="L18" i="421"/>
  <c r="L28" i="421" s="1"/>
  <c r="L33" i="422" l="1"/>
  <c r="L34" i="422" s="1"/>
  <c r="L29" i="421"/>
  <c r="L30" i="421" s="1"/>
  <c r="L31" i="421" l="1"/>
  <c r="L32" i="421" s="1"/>
  <c r="L42" i="96" l="1"/>
  <c r="K19" i="416" l="1"/>
  <c r="I19" i="416"/>
  <c r="H19" i="416"/>
  <c r="D19" i="416"/>
  <c r="K18" i="416"/>
  <c r="L18" i="416" s="1"/>
  <c r="I18" i="416"/>
  <c r="H18" i="416"/>
  <c r="D18" i="416"/>
  <c r="F11" i="416"/>
  <c r="L19" i="416" l="1"/>
  <c r="L28" i="416" l="1"/>
  <c r="L29" i="416" l="1"/>
  <c r="L30" i="416" s="1"/>
  <c r="L31" i="416" l="1"/>
  <c r="L32" i="416" s="1"/>
  <c r="K18" i="414" l="1"/>
  <c r="I18" i="414"/>
  <c r="H18" i="414"/>
  <c r="D18" i="414"/>
  <c r="F11" i="414"/>
  <c r="K18" i="413"/>
  <c r="I18" i="413"/>
  <c r="H18" i="413"/>
  <c r="D18" i="413"/>
  <c r="F11" i="413"/>
  <c r="R20" i="412"/>
  <c r="K18" i="412"/>
  <c r="I18" i="412"/>
  <c r="H18" i="412"/>
  <c r="D18" i="412"/>
  <c r="F11" i="412"/>
  <c r="L18" i="414" l="1"/>
  <c r="L30" i="414" s="1"/>
  <c r="L18" i="413"/>
  <c r="L18" i="412"/>
  <c r="L31" i="414" l="1"/>
  <c r="L32" i="414" s="1"/>
  <c r="L30" i="413"/>
  <c r="L30" i="412"/>
  <c r="L33" i="414" l="1"/>
  <c r="L34" i="414" s="1"/>
  <c r="L31" i="413"/>
  <c r="L32" i="413" s="1"/>
  <c r="L31" i="412"/>
  <c r="L32" i="412" s="1"/>
  <c r="L33" i="413" l="1"/>
  <c r="L34" i="413" s="1"/>
  <c r="L33" i="412"/>
  <c r="L34" i="412" s="1"/>
  <c r="H349" i="7" l="1"/>
  <c r="DA349" i="7" s="1"/>
  <c r="H287" i="7" l="1"/>
  <c r="DA287" i="7" s="1"/>
  <c r="N19" i="204" s="1"/>
  <c r="O19" i="204" s="1"/>
  <c r="P19" i="204" s="1"/>
  <c r="H101" i="7"/>
  <c r="DA101" i="7" s="1"/>
  <c r="H100" i="7"/>
  <c r="DA100" i="7" s="1"/>
  <c r="H99" i="7"/>
  <c r="DA99" i="7" s="1"/>
  <c r="H98" i="7"/>
  <c r="DA98" i="7" s="1"/>
  <c r="H97" i="7"/>
  <c r="DA97" i="7" s="1"/>
  <c r="H96" i="7"/>
  <c r="DA96" i="7" s="1"/>
  <c r="H95" i="7"/>
  <c r="DA95" i="7" s="1"/>
  <c r="H94" i="7"/>
  <c r="DA94" i="7" s="1"/>
  <c r="H93" i="7"/>
  <c r="DA93" i="7" s="1"/>
  <c r="N18" i="618" l="1"/>
  <c r="R18" i="618" s="1"/>
  <c r="K18" i="409"/>
  <c r="I18" i="409"/>
  <c r="H18" i="409"/>
  <c r="D18" i="409"/>
  <c r="F11" i="409"/>
  <c r="O18" i="618" l="1"/>
  <c r="P18" i="618" s="1"/>
  <c r="L18" i="409"/>
  <c r="L30" i="409" s="1"/>
  <c r="L31" i="409" l="1"/>
  <c r="L32" i="409" s="1"/>
  <c r="L33" i="409" l="1"/>
  <c r="L34" i="409" s="1"/>
  <c r="D1048568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401" l="1"/>
  <c r="H18" i="401"/>
  <c r="D18" i="401"/>
  <c r="F11" i="401"/>
  <c r="DA144" i="400"/>
  <c r="I18" i="400"/>
  <c r="H18" i="400"/>
  <c r="D18" i="400"/>
  <c r="F11" i="400"/>
  <c r="F11" i="399"/>
  <c r="L18" i="401" l="1"/>
  <c r="L31" i="401" l="1"/>
  <c r="L35" i="399"/>
  <c r="L32" i="401" l="1"/>
  <c r="L33" i="401" s="1"/>
  <c r="L36" i="399"/>
  <c r="L37" i="399" s="1"/>
  <c r="L38" i="399" s="1"/>
  <c r="L39" i="399" s="1"/>
  <c r="L34" i="401" l="1"/>
  <c r="L35" i="401" s="1"/>
  <c r="DA142" i="396" l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18" i="391" l="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F11" i="387"/>
  <c r="K18" i="370" l="1"/>
  <c r="I18" i="370"/>
  <c r="H18" i="370"/>
  <c r="D18" i="370"/>
  <c r="L18" i="370" l="1"/>
  <c r="K18" i="380" l="1"/>
  <c r="L18" i="380" s="1"/>
  <c r="L44" i="380" s="1"/>
  <c r="I18" i="380"/>
  <c r="H18" i="380"/>
  <c r="F11" i="380"/>
  <c r="L45" i="380" l="1"/>
  <c r="L46" i="380" s="1"/>
  <c r="L47" i="380" s="1"/>
  <c r="L48" i="380" s="1"/>
  <c r="I23" i="139" l="1"/>
  <c r="H23" i="139"/>
  <c r="D23" i="139"/>
  <c r="L23" i="139" l="1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19" i="7" l="1"/>
  <c r="DA119" i="7" s="1"/>
  <c r="K20" i="235" l="1"/>
  <c r="I20" i="235"/>
  <c r="H20" i="235"/>
  <c r="D20" i="235"/>
  <c r="K19" i="235"/>
  <c r="I19" i="235"/>
  <c r="H19" i="235"/>
  <c r="D19" i="235"/>
  <c r="L20" i="235" l="1"/>
  <c r="L19" i="235"/>
  <c r="I28" i="139" l="1"/>
  <c r="H28" i="139"/>
  <c r="D28" i="139"/>
  <c r="L28" i="139" l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DA202" i="7" l="1"/>
  <c r="DA212" i="7"/>
  <c r="DA318" i="7"/>
  <c r="DA196" i="7"/>
  <c r="N18" i="452" l="1"/>
  <c r="O18" i="452" s="1"/>
  <c r="P18" i="452" s="1"/>
  <c r="M30" i="452" s="1"/>
  <c r="N30" i="452" s="1"/>
  <c r="C18" i="329"/>
  <c r="CS278" i="7" l="1"/>
  <c r="CS276" i="7"/>
  <c r="CS274" i="7"/>
  <c r="CS268" i="7"/>
  <c r="CS257" i="7"/>
  <c r="CS255" i="7"/>
  <c r="CS252" i="7"/>
  <c r="CS241" i="7"/>
  <c r="CS235" i="7"/>
  <c r="CS231" i="7"/>
  <c r="CS227" i="7"/>
  <c r="CS221" i="7"/>
  <c r="CS190" i="7"/>
  <c r="CS188" i="7"/>
  <c r="CS185" i="7"/>
  <c r="CS171" i="7"/>
  <c r="CS160" i="7"/>
  <c r="CS158" i="7"/>
  <c r="CS152" i="7"/>
  <c r="CS150" i="7"/>
  <c r="CS149" i="7"/>
  <c r="CS148" i="7"/>
  <c r="CS143" i="7"/>
  <c r="CS137" i="7"/>
  <c r="CS107" i="7"/>
  <c r="CS102" i="7"/>
  <c r="CS98" i="7"/>
  <c r="CS90" i="7"/>
  <c r="CS88" i="7"/>
  <c r="CS87" i="7"/>
  <c r="CS47" i="7"/>
  <c r="CS45" i="7"/>
  <c r="CS43" i="7"/>
  <c r="H354" i="7"/>
  <c r="DA354" i="7" s="1"/>
  <c r="N23" i="537" s="1"/>
  <c r="O23" i="537" s="1"/>
  <c r="P23" i="537" s="1"/>
  <c r="H142" i="7"/>
  <c r="DA142" i="7" s="1"/>
  <c r="H159" i="7"/>
  <c r="DA159" i="7" s="1"/>
  <c r="N20" i="217" l="1"/>
  <c r="O20" i="217" s="1"/>
  <c r="P20" i="217" s="1"/>
  <c r="N18" i="489"/>
  <c r="O18" i="489" s="1"/>
  <c r="P18" i="489" s="1"/>
  <c r="M30" i="489" s="1"/>
  <c r="N30" i="489" s="1"/>
  <c r="F11" i="370"/>
  <c r="K18" i="221"/>
  <c r="I18" i="221"/>
  <c r="H18" i="221"/>
  <c r="L18" i="221" l="1"/>
  <c r="L36" i="370" l="1"/>
  <c r="L37" i="370" s="1"/>
  <c r="L38" i="370" s="1"/>
  <c r="L39" i="370" l="1"/>
  <c r="L40" i="370" s="1"/>
  <c r="Q42" i="366" l="1"/>
  <c r="C18" i="366"/>
  <c r="D18" i="366" s="1"/>
  <c r="K18" i="366" l="1"/>
  <c r="L18" i="366" s="1"/>
  <c r="L35" i="366" s="1"/>
  <c r="H18" i="366"/>
  <c r="I18" i="366"/>
  <c r="L37" i="366" l="1"/>
  <c r="L38" i="366" s="1"/>
  <c r="L39" i="366" s="1"/>
  <c r="J312" i="7" l="1"/>
  <c r="K19" i="321" s="1"/>
  <c r="L19" i="321" s="1"/>
  <c r="H312" i="7"/>
  <c r="DA312" i="7" s="1"/>
  <c r="N19" i="321" s="1"/>
  <c r="O19" i="321" l="1"/>
  <c r="P19" i="321" s="1"/>
  <c r="L21" i="334"/>
  <c r="L20" i="334"/>
  <c r="K19" i="70" l="1"/>
  <c r="L19" i="70" s="1"/>
  <c r="I19" i="70"/>
  <c r="H19" i="70"/>
  <c r="D19" i="70"/>
  <c r="R18" i="346" l="1"/>
  <c r="F11" i="346"/>
  <c r="L30" i="346" l="1"/>
  <c r="L31" i="346" l="1"/>
  <c r="L32" i="346" s="1"/>
  <c r="L33" i="346" l="1"/>
  <c r="L34" i="346" s="1"/>
  <c r="K18" i="64"/>
  <c r="L18" i="64" s="1"/>
  <c r="I18" i="64"/>
  <c r="H18" i="64"/>
  <c r="D18" i="64"/>
  <c r="F11" i="342" l="1"/>
  <c r="L39" i="342" l="1"/>
  <c r="L40" i="342" s="1"/>
  <c r="L41" i="342" l="1"/>
  <c r="L42" i="342" s="1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I24" i="311" l="1"/>
  <c r="H24" i="311"/>
  <c r="D24" i="311"/>
  <c r="K20" i="182" l="1"/>
  <c r="I20" i="182"/>
  <c r="H20" i="182"/>
  <c r="D20" i="182"/>
  <c r="K19" i="182"/>
  <c r="I19" i="182"/>
  <c r="H19" i="182"/>
  <c r="D19" i="182"/>
  <c r="H6" i="7"/>
  <c r="DA6" i="7" s="1"/>
  <c r="H488" i="7"/>
  <c r="DA488" i="7" s="1"/>
  <c r="H489" i="7"/>
  <c r="DA489" i="7" s="1"/>
  <c r="L20" i="182" l="1"/>
  <c r="L19" i="182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0" i="338" s="1"/>
  <c r="L30" i="340" l="1"/>
  <c r="L31" i="338"/>
  <c r="L32" i="338" s="1"/>
  <c r="L31" i="340" l="1"/>
  <c r="L32" i="340" s="1"/>
  <c r="L33" i="340" s="1"/>
  <c r="L34" i="340" s="1"/>
  <c r="L33" i="339"/>
  <c r="L34" i="339" s="1"/>
  <c r="L33" i="338"/>
  <c r="L34" i="338" s="1"/>
  <c r="L35" i="339" l="1"/>
  <c r="L36" i="339" s="1"/>
  <c r="M34" i="334" l="1"/>
  <c r="L19" i="334"/>
  <c r="L18" i="334"/>
  <c r="F11" i="334"/>
  <c r="L34" i="334" l="1"/>
  <c r="L36" i="334" s="1"/>
  <c r="N34" i="334" l="1"/>
  <c r="L37" i="334"/>
  <c r="L38" i="334" s="1"/>
  <c r="F11" i="332" l="1"/>
  <c r="K18" i="331"/>
  <c r="I18" i="331"/>
  <c r="H18" i="331"/>
  <c r="D18" i="331"/>
  <c r="F11" i="331"/>
  <c r="L18" i="331" l="1"/>
  <c r="L31" i="331" s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39" i="329"/>
  <c r="I18" i="329" l="1"/>
  <c r="H18" i="329"/>
  <c r="D18" i="329"/>
  <c r="K18" i="329"/>
  <c r="L18" i="329" s="1"/>
  <c r="L34" i="329" s="1"/>
  <c r="I19" i="139" l="1"/>
  <c r="H19" i="139"/>
  <c r="D19" i="139"/>
  <c r="L48" i="330" l="1"/>
  <c r="L49" i="330" s="1"/>
  <c r="L35" i="329"/>
  <c r="L36" i="329" s="1"/>
  <c r="L19" i="139"/>
  <c r="L50" i="330" l="1"/>
  <c r="L51" i="330" s="1"/>
  <c r="L37" i="329"/>
  <c r="L38" i="329" s="1"/>
  <c r="D18" i="277" l="1"/>
  <c r="F11" i="230" l="1"/>
  <c r="H286" i="7" l="1"/>
  <c r="DA286" i="7" s="1"/>
  <c r="K18" i="321" l="1"/>
  <c r="I18" i="321"/>
  <c r="H18" i="321"/>
  <c r="D18" i="321"/>
  <c r="F11" i="321"/>
  <c r="L18" i="321" l="1"/>
  <c r="L28" i="321" s="1"/>
  <c r="L29" i="321" l="1"/>
  <c r="L30" i="321" s="1"/>
  <c r="L31" i="321" l="1"/>
  <c r="L32" i="321" s="1"/>
  <c r="H154" i="7" l="1"/>
  <c r="DA154" i="7" s="1"/>
  <c r="H153" i="7"/>
  <c r="DA153" i="7" s="1"/>
  <c r="H129" i="7"/>
  <c r="H32" i="7"/>
  <c r="DA32" i="7" s="1"/>
  <c r="N20" i="380" l="1"/>
  <c r="O20" i="380" s="1"/>
  <c r="P20" i="380" s="1"/>
  <c r="N20" i="83"/>
  <c r="O20" i="83" s="1"/>
  <c r="P20" i="83" s="1"/>
  <c r="N18" i="478"/>
  <c r="O18" i="478" s="1"/>
  <c r="P18" i="478" s="1"/>
  <c r="N18" i="477"/>
  <c r="O18" i="477" s="1"/>
  <c r="P18" i="477" s="1"/>
  <c r="H130" i="7"/>
  <c r="DA129" i="7"/>
  <c r="M34" i="320"/>
  <c r="L34" i="320"/>
  <c r="H131" i="7" l="1"/>
  <c r="DA131" i="7" s="1"/>
  <c r="DA130" i="7"/>
  <c r="L35" i="320"/>
  <c r="L36" i="320" s="1"/>
  <c r="N34" i="320"/>
  <c r="L37" i="320" l="1"/>
  <c r="L38" i="320" s="1"/>
  <c r="F11" i="52" l="1"/>
  <c r="K18" i="314" l="1"/>
  <c r="I18" i="314"/>
  <c r="H18" i="314"/>
  <c r="D18" i="314"/>
  <c r="F11" i="314"/>
  <c r="L18" i="314" l="1"/>
  <c r="L31" i="314" s="1"/>
  <c r="L32" i="314" l="1"/>
  <c r="L33" i="314" s="1"/>
  <c r="L34" i="314" l="1"/>
  <c r="L35" i="314" s="1"/>
  <c r="N19" i="235" l="1"/>
  <c r="O19" i="235" s="1"/>
  <c r="P19" i="235" s="1"/>
  <c r="N18" i="416" l="1"/>
  <c r="O18" i="416" s="1"/>
  <c r="P18" i="416" s="1"/>
  <c r="N18" i="414"/>
  <c r="O18" i="414" s="1"/>
  <c r="P18" i="414" s="1"/>
  <c r="M30" i="414" s="1"/>
  <c r="N30" i="414" s="1"/>
  <c r="N18" i="412"/>
  <c r="K18" i="311"/>
  <c r="N18" i="311"/>
  <c r="I18" i="311"/>
  <c r="H18" i="311"/>
  <c r="D18" i="311"/>
  <c r="F11" i="311"/>
  <c r="S18" i="412" l="1"/>
  <c r="R18" i="412"/>
  <c r="O18" i="412"/>
  <c r="P18" i="412" s="1"/>
  <c r="M30" i="412" s="1"/>
  <c r="N30" i="412" s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45" i="7" l="1"/>
  <c r="DA145" i="7" s="1"/>
  <c r="H497" i="7"/>
  <c r="DA497" i="7" s="1"/>
  <c r="H297" i="7"/>
  <c r="DA297" i="7" s="1"/>
  <c r="H125" i="7"/>
  <c r="DA125" i="7" s="1"/>
  <c r="H124" i="7"/>
  <c r="DA124" i="7" s="1"/>
  <c r="H123" i="7"/>
  <c r="DA123" i="7" s="1"/>
  <c r="H495" i="7"/>
  <c r="H448" i="7"/>
  <c r="DA448" i="7" s="1"/>
  <c r="H440" i="7"/>
  <c r="DA440" i="7" s="1"/>
  <c r="H359" i="7"/>
  <c r="DA359" i="7" s="1"/>
  <c r="H357" i="7"/>
  <c r="H353" i="7"/>
  <c r="H351" i="7"/>
  <c r="DA351" i="7" s="1"/>
  <c r="H346" i="7"/>
  <c r="DA346" i="7" s="1"/>
  <c r="N34" i="219" s="1"/>
  <c r="O34" i="219" s="1"/>
  <c r="P34" i="219" s="1"/>
  <c r="H342" i="7"/>
  <c r="H138" i="7"/>
  <c r="DA138" i="7" s="1"/>
  <c r="H137" i="7"/>
  <c r="DA137" i="7" s="1"/>
  <c r="N23" i="617" s="1"/>
  <c r="O23" i="617" s="1"/>
  <c r="P23" i="617" s="1"/>
  <c r="H136" i="7"/>
  <c r="H493" i="7"/>
  <c r="H115" i="7"/>
  <c r="DA115" i="7" s="1"/>
  <c r="N19" i="537" s="1"/>
  <c r="O19" i="537" s="1"/>
  <c r="P19" i="537" s="1"/>
  <c r="H113" i="7"/>
  <c r="DA113" i="7" s="1"/>
  <c r="H112" i="7"/>
  <c r="DA112" i="7" s="1"/>
  <c r="H111" i="7"/>
  <c r="H200" i="7"/>
  <c r="DA200" i="7" s="1"/>
  <c r="H251" i="7"/>
  <c r="DA251" i="7" s="1"/>
  <c r="H247" i="7"/>
  <c r="DA247" i="7" s="1"/>
  <c r="N18" i="534" s="1"/>
  <c r="O18" i="534" s="1"/>
  <c r="P18" i="534" s="1"/>
  <c r="M30" i="534" s="1"/>
  <c r="N30" i="534" s="1"/>
  <c r="H246" i="7"/>
  <c r="DA246" i="7" s="1"/>
  <c r="H242" i="7"/>
  <c r="H241" i="7"/>
  <c r="DA241" i="7" s="1"/>
  <c r="N26" i="44" s="1"/>
  <c r="O26" i="44" s="1"/>
  <c r="P26" i="44" s="1"/>
  <c r="H205" i="7"/>
  <c r="DA205" i="7" s="1"/>
  <c r="H225" i="7"/>
  <c r="DA225" i="7" s="1"/>
  <c r="H224" i="7"/>
  <c r="DA224" i="7" s="1"/>
  <c r="H223" i="7"/>
  <c r="DA223" i="7" s="1"/>
  <c r="H222" i="7"/>
  <c r="DA222" i="7" s="1"/>
  <c r="H221" i="7"/>
  <c r="DA221" i="7" s="1"/>
  <c r="H348" i="7"/>
  <c r="H152" i="7"/>
  <c r="DA152" i="7" s="1"/>
  <c r="N22" i="83" s="1"/>
  <c r="O22" i="83" s="1"/>
  <c r="P22" i="83" s="1"/>
  <c r="H274" i="7"/>
  <c r="DA274" i="7" s="1"/>
  <c r="N22" i="176" s="1"/>
  <c r="O22" i="176" s="1"/>
  <c r="P22" i="176" s="1"/>
  <c r="H344" i="7"/>
  <c r="DA344" i="7" s="1"/>
  <c r="H411" i="7"/>
  <c r="DA411" i="7" s="1"/>
  <c r="H409" i="7"/>
  <c r="DA409" i="7" s="1"/>
  <c r="H248" i="7"/>
  <c r="DA248" i="7" s="1"/>
  <c r="H393" i="7"/>
  <c r="DA393" i="7" s="1"/>
  <c r="H375" i="7"/>
  <c r="DA375" i="7" s="1"/>
  <c r="H444" i="7"/>
  <c r="DA444" i="7" s="1"/>
  <c r="H443" i="7"/>
  <c r="DA443" i="7" s="1"/>
  <c r="H442" i="7"/>
  <c r="DA442" i="7" s="1"/>
  <c r="H148" i="7"/>
  <c r="H278" i="7"/>
  <c r="DA278" i="7" s="1"/>
  <c r="H118" i="7"/>
  <c r="DA118" i="7" s="1"/>
  <c r="H457" i="7"/>
  <c r="DA457" i="7" s="1"/>
  <c r="H458" i="7"/>
  <c r="DA458" i="7" s="1"/>
  <c r="H454" i="7"/>
  <c r="DA454" i="7" s="1"/>
  <c r="H282" i="7"/>
  <c r="DA282" i="7" s="1"/>
  <c r="H276" i="7"/>
  <c r="H431" i="7"/>
  <c r="DA431" i="7" s="1"/>
  <c r="H437" i="7"/>
  <c r="DA437" i="7" s="1"/>
  <c r="H432" i="7"/>
  <c r="DA432" i="7" s="1"/>
  <c r="H232" i="7"/>
  <c r="H231" i="7"/>
  <c r="DA231" i="7" s="1"/>
  <c r="N27" i="380" s="1"/>
  <c r="O27" i="380" s="1"/>
  <c r="P27" i="380" s="1"/>
  <c r="H228" i="7"/>
  <c r="H227" i="7"/>
  <c r="H316" i="7"/>
  <c r="DA316" i="7" s="1"/>
  <c r="H271" i="7"/>
  <c r="DA271" i="7" s="1"/>
  <c r="H265" i="7"/>
  <c r="DA265" i="7" s="1"/>
  <c r="H264" i="7"/>
  <c r="DA193" i="7"/>
  <c r="H88" i="7"/>
  <c r="DA88" i="7" s="1"/>
  <c r="DA480" i="7"/>
  <c r="H487" i="7"/>
  <c r="DA470" i="7"/>
  <c r="N18" i="130"/>
  <c r="N30" i="330" l="1"/>
  <c r="O30" i="330" s="1"/>
  <c r="P30" i="330" s="1"/>
  <c r="N21" i="83"/>
  <c r="O21" i="83" s="1"/>
  <c r="P21" i="83" s="1"/>
  <c r="N20" i="81"/>
  <c r="O20" i="81" s="1"/>
  <c r="P20" i="81" s="1"/>
  <c r="N28" i="617"/>
  <c r="O28" i="617" s="1"/>
  <c r="P28" i="617" s="1"/>
  <c r="N28" i="41"/>
  <c r="O28" i="41" s="1"/>
  <c r="P28" i="41" s="1"/>
  <c r="N32" i="83"/>
  <c r="O32" i="83" s="1"/>
  <c r="P32" i="83" s="1"/>
  <c r="N40" i="330"/>
  <c r="O40" i="330" s="1"/>
  <c r="P40" i="330" s="1"/>
  <c r="N34" i="380"/>
  <c r="O34" i="380" s="1"/>
  <c r="P34" i="380" s="1"/>
  <c r="N28" i="330"/>
  <c r="O28" i="330" s="1"/>
  <c r="P28" i="330" s="1"/>
  <c r="N30" i="380"/>
  <c r="O30" i="380" s="1"/>
  <c r="P30" i="380" s="1"/>
  <c r="N31" i="83"/>
  <c r="O31" i="83" s="1"/>
  <c r="P31" i="83" s="1"/>
  <c r="N21" i="330"/>
  <c r="O21" i="330" s="1"/>
  <c r="P21" i="330" s="1"/>
  <c r="N34" i="44"/>
  <c r="O34" i="44" s="1"/>
  <c r="P34" i="44" s="1"/>
  <c r="N20" i="204"/>
  <c r="O20" i="204" s="1"/>
  <c r="P20" i="204" s="1"/>
  <c r="N26" i="619"/>
  <c r="O26" i="619" s="1"/>
  <c r="P26" i="619" s="1"/>
  <c r="N28" i="619"/>
  <c r="O28" i="619" s="1"/>
  <c r="P28" i="619" s="1"/>
  <c r="N21" i="619"/>
  <c r="O21" i="619" s="1"/>
  <c r="P21" i="619" s="1"/>
  <c r="N19" i="51"/>
  <c r="O19" i="51" s="1"/>
  <c r="P19" i="51" s="1"/>
  <c r="N21" i="81"/>
  <c r="O21" i="81" s="1"/>
  <c r="P21" i="81" s="1"/>
  <c r="N29" i="219"/>
  <c r="O29" i="219" s="1"/>
  <c r="P29" i="219" s="1"/>
  <c r="N18" i="633"/>
  <c r="O18" i="633" s="1"/>
  <c r="P18" i="633" s="1"/>
  <c r="M30" i="633" s="1"/>
  <c r="N18" i="537"/>
  <c r="O18" i="537" s="1"/>
  <c r="P18" i="537" s="1"/>
  <c r="N27" i="51"/>
  <c r="O27" i="51" s="1"/>
  <c r="P27" i="51" s="1"/>
  <c r="N18" i="546"/>
  <c r="O18" i="546" s="1"/>
  <c r="P18" i="546" s="1"/>
  <c r="M30" i="546" s="1"/>
  <c r="N30" i="546" s="1"/>
  <c r="DA357" i="7"/>
  <c r="H358" i="7"/>
  <c r="DA358" i="7" s="1"/>
  <c r="N19" i="120"/>
  <c r="O19" i="120" s="1"/>
  <c r="P19" i="120" s="1"/>
  <c r="N27" i="139"/>
  <c r="O27" i="139" s="1"/>
  <c r="P27" i="139" s="1"/>
  <c r="N18" i="433"/>
  <c r="O18" i="433" s="1"/>
  <c r="P18" i="433" s="1"/>
  <c r="M32" i="433" s="1"/>
  <c r="N18" i="434"/>
  <c r="O18" i="434" s="1"/>
  <c r="P18" i="434" s="1"/>
  <c r="M30" i="434" s="1"/>
  <c r="N30" i="434" s="1"/>
  <c r="DA8" i="7"/>
  <c r="DA9" i="7"/>
  <c r="H229" i="7"/>
  <c r="DA229" i="7" s="1"/>
  <c r="DA228" i="7"/>
  <c r="DA348" i="7"/>
  <c r="H243" i="7"/>
  <c r="DA242" i="7"/>
  <c r="DA264" i="7"/>
  <c r="DA493" i="7"/>
  <c r="DA342" i="7"/>
  <c r="DA487" i="7"/>
  <c r="N31" i="617" s="1"/>
  <c r="O31" i="617" s="1"/>
  <c r="P31" i="617" s="1"/>
  <c r="DA232" i="7"/>
  <c r="DA148" i="7"/>
  <c r="N22" i="537" s="1"/>
  <c r="O22" i="537" s="1"/>
  <c r="P22" i="537" s="1"/>
  <c r="DA136" i="7"/>
  <c r="DA276" i="7"/>
  <c r="DA495" i="7"/>
  <c r="DA227" i="7"/>
  <c r="DA353" i="7"/>
  <c r="DA111" i="7"/>
  <c r="H192" i="7"/>
  <c r="DA192" i="7" s="1"/>
  <c r="DA190" i="7"/>
  <c r="N18" i="428"/>
  <c r="O18" i="428" s="1"/>
  <c r="P18" i="428" s="1"/>
  <c r="M30" i="428" s="1"/>
  <c r="N30" i="428" s="1"/>
  <c r="N19" i="429"/>
  <c r="O19" i="429" s="1"/>
  <c r="P19" i="429" s="1"/>
  <c r="N18" i="429"/>
  <c r="O18" i="429" s="1"/>
  <c r="P18" i="429" s="1"/>
  <c r="N20" i="429"/>
  <c r="O20" i="429" s="1"/>
  <c r="P20" i="429" s="1"/>
  <c r="N18" i="427"/>
  <c r="O18" i="427" s="1"/>
  <c r="P18" i="427" s="1"/>
  <c r="N22" i="182"/>
  <c r="O22" i="182" s="1"/>
  <c r="P22" i="182" s="1"/>
  <c r="N18" i="413"/>
  <c r="O18" i="413" s="1"/>
  <c r="P18" i="413" s="1"/>
  <c r="N18" i="421"/>
  <c r="O18" i="421" s="1"/>
  <c r="P18" i="421" s="1"/>
  <c r="M28" i="421" s="1"/>
  <c r="N28" i="421" s="1"/>
  <c r="N18" i="422"/>
  <c r="N19" i="416"/>
  <c r="O19" i="416" s="1"/>
  <c r="P19" i="416" s="1"/>
  <c r="M28" i="416" s="1"/>
  <c r="N28" i="416" s="1"/>
  <c r="N19" i="269"/>
  <c r="O19" i="269" s="1"/>
  <c r="P19" i="269" s="1"/>
  <c r="N21" i="182"/>
  <c r="O21" i="182" s="1"/>
  <c r="P21" i="182" s="1"/>
  <c r="N23" i="182"/>
  <c r="O23" i="182" s="1"/>
  <c r="P23" i="182" s="1"/>
  <c r="M31" i="396"/>
  <c r="N31" i="396" s="1"/>
  <c r="N19" i="209"/>
  <c r="O19" i="209" s="1"/>
  <c r="P19" i="209" s="1"/>
  <c r="N18" i="378"/>
  <c r="O18" i="378" s="1"/>
  <c r="P18" i="378" s="1"/>
  <c r="M33" i="378" s="1"/>
  <c r="N33" i="378" s="1"/>
  <c r="N18" i="221"/>
  <c r="O18" i="221" s="1"/>
  <c r="P18" i="221" s="1"/>
  <c r="M27" i="221" s="1"/>
  <c r="N18" i="376"/>
  <c r="O18" i="376" s="1"/>
  <c r="P18" i="376" s="1"/>
  <c r="M32" i="376" s="1"/>
  <c r="N32" i="376" s="1"/>
  <c r="N19" i="70"/>
  <c r="O19" i="70" s="1"/>
  <c r="P19" i="70" s="1"/>
  <c r="N18" i="321"/>
  <c r="O18" i="321" s="1"/>
  <c r="P18" i="321" s="1"/>
  <c r="N20" i="174"/>
  <c r="H210" i="7"/>
  <c r="DA210" i="7" s="1"/>
  <c r="H277" i="7"/>
  <c r="H194" i="7"/>
  <c r="H233" i="7"/>
  <c r="DA233" i="7" s="1"/>
  <c r="H201" i="7"/>
  <c r="DA201" i="7" s="1"/>
  <c r="H197" i="7"/>
  <c r="H198" i="7"/>
  <c r="DA198" i="7" s="1"/>
  <c r="H203" i="7"/>
  <c r="DA203" i="7" s="1"/>
  <c r="H199" i="7"/>
  <c r="DA199" i="7" s="1"/>
  <c r="H204" i="7"/>
  <c r="DA204" i="7" s="1"/>
  <c r="N18" i="621" l="1"/>
  <c r="R18" i="621" s="1"/>
  <c r="N21" i="176"/>
  <c r="O21" i="176" s="1"/>
  <c r="P21" i="176" s="1"/>
  <c r="N24" i="380"/>
  <c r="O24" i="380" s="1"/>
  <c r="P24" i="380" s="1"/>
  <c r="N24" i="83"/>
  <c r="O24" i="83" s="1"/>
  <c r="P24" i="83" s="1"/>
  <c r="N21" i="432"/>
  <c r="O21" i="432" s="1"/>
  <c r="P21" i="432" s="1"/>
  <c r="N20" i="590"/>
  <c r="O20" i="590" s="1"/>
  <c r="P20" i="590" s="1"/>
  <c r="N19" i="131"/>
  <c r="O19" i="131" s="1"/>
  <c r="P19" i="131" s="1"/>
  <c r="N30" i="83"/>
  <c r="O30" i="83" s="1"/>
  <c r="P30" i="83" s="1"/>
  <c r="N26" i="380"/>
  <c r="O26" i="380" s="1"/>
  <c r="P26" i="380" s="1"/>
  <c r="N26" i="83"/>
  <c r="O26" i="83" s="1"/>
  <c r="P26" i="83" s="1"/>
  <c r="N26" i="330"/>
  <c r="O26" i="330" s="1"/>
  <c r="P26" i="330" s="1"/>
  <c r="N20" i="145"/>
  <c r="O20" i="145" s="1"/>
  <c r="P20" i="145" s="1"/>
  <c r="N24" i="44"/>
  <c r="O24" i="44" s="1"/>
  <c r="P24" i="44" s="1"/>
  <c r="N20" i="293"/>
  <c r="O20" i="293" s="1"/>
  <c r="P20" i="293" s="1"/>
  <c r="N18" i="604"/>
  <c r="O18" i="604" s="1"/>
  <c r="P18" i="604" s="1"/>
  <c r="N21" i="97"/>
  <c r="O21" i="97" s="1"/>
  <c r="P21" i="97" s="1"/>
  <c r="N22" i="590"/>
  <c r="O22" i="590" s="1"/>
  <c r="P22" i="590" s="1"/>
  <c r="N19" i="97"/>
  <c r="O19" i="97" s="1"/>
  <c r="P19" i="97" s="1"/>
  <c r="N20" i="97"/>
  <c r="O20" i="97" s="1"/>
  <c r="P20" i="97" s="1"/>
  <c r="N20" i="67"/>
  <c r="O20" i="67" s="1"/>
  <c r="P20" i="67" s="1"/>
  <c r="N25" i="51"/>
  <c r="O25" i="51" s="1"/>
  <c r="P25" i="51" s="1"/>
  <c r="N35" i="330"/>
  <c r="O35" i="330" s="1"/>
  <c r="P35" i="330" s="1"/>
  <c r="N20" i="537"/>
  <c r="O20" i="537" s="1"/>
  <c r="P20" i="537" s="1"/>
  <c r="N20" i="401"/>
  <c r="O20" i="401" s="1"/>
  <c r="P20" i="401" s="1"/>
  <c r="N23" i="588"/>
  <c r="O23" i="588" s="1"/>
  <c r="P23" i="588" s="1"/>
  <c r="N22" i="145"/>
  <c r="O22" i="145" s="1"/>
  <c r="P22" i="145" s="1"/>
  <c r="N29" i="51"/>
  <c r="O29" i="51" s="1"/>
  <c r="P29" i="51" s="1"/>
  <c r="N30" i="51"/>
  <c r="O30" i="51" s="1"/>
  <c r="P30" i="51" s="1"/>
  <c r="N19" i="285"/>
  <c r="O19" i="285" s="1"/>
  <c r="P19" i="285" s="1"/>
  <c r="N22" i="97"/>
  <c r="O22" i="97" s="1"/>
  <c r="P22" i="97" s="1"/>
  <c r="N19" i="604"/>
  <c r="O19" i="604" s="1"/>
  <c r="P19" i="604" s="1"/>
  <c r="N18" i="524"/>
  <c r="O18" i="524" s="1"/>
  <c r="P18" i="524" s="1"/>
  <c r="N19" i="281"/>
  <c r="O19" i="281" s="1"/>
  <c r="P19" i="281" s="1"/>
  <c r="N20" i="281"/>
  <c r="O20" i="281" s="1"/>
  <c r="P20" i="281" s="1"/>
  <c r="N20" i="120"/>
  <c r="O20" i="120" s="1"/>
  <c r="P20" i="120" s="1"/>
  <c r="DA243" i="7"/>
  <c r="H245" i="7"/>
  <c r="DA245" i="7" s="1"/>
  <c r="DA194" i="7"/>
  <c r="N21" i="621" s="1"/>
  <c r="O21" i="621" s="1"/>
  <c r="P21" i="621" s="1"/>
  <c r="H195" i="7"/>
  <c r="DA195" i="7" s="1"/>
  <c r="N19" i="332"/>
  <c r="O19" i="332" s="1"/>
  <c r="P19" i="332" s="1"/>
  <c r="N19" i="276"/>
  <c r="O19" i="276" s="1"/>
  <c r="P19" i="276" s="1"/>
  <c r="N21" i="549"/>
  <c r="O21" i="549" s="1"/>
  <c r="P21" i="549" s="1"/>
  <c r="N18" i="570"/>
  <c r="O18" i="570" s="1"/>
  <c r="P18" i="570" s="1"/>
  <c r="M30" i="570" s="1"/>
  <c r="N30" i="570" s="1"/>
  <c r="N19" i="293"/>
  <c r="O19" i="293" s="1"/>
  <c r="P19" i="293" s="1"/>
  <c r="N19" i="528"/>
  <c r="O19" i="528" s="1"/>
  <c r="P19" i="528" s="1"/>
  <c r="M33" i="528" s="1"/>
  <c r="N33" i="528" s="1"/>
  <c r="N19" i="68"/>
  <c r="R21" i="217"/>
  <c r="N19" i="64"/>
  <c r="O19" i="64" s="1"/>
  <c r="P19" i="64" s="1"/>
  <c r="N18" i="164"/>
  <c r="O18" i="164" s="1"/>
  <c r="P18" i="164" s="1"/>
  <c r="M29" i="164" s="1"/>
  <c r="N18" i="285"/>
  <c r="N18" i="340"/>
  <c r="O18" i="340" s="1"/>
  <c r="P18" i="340" s="1"/>
  <c r="N18" i="426"/>
  <c r="O18" i="426" s="1"/>
  <c r="P18" i="426" s="1"/>
  <c r="M30" i="426" s="1"/>
  <c r="N30" i="426" s="1"/>
  <c r="N20" i="235"/>
  <c r="O20" i="235" s="1"/>
  <c r="P20" i="235" s="1"/>
  <c r="DA197" i="7"/>
  <c r="DA277" i="7"/>
  <c r="M36" i="429"/>
  <c r="N36" i="429" s="1"/>
  <c r="M30" i="413"/>
  <c r="N30" i="413" s="1"/>
  <c r="N18" i="424"/>
  <c r="O18" i="424" s="1"/>
  <c r="P18" i="424" s="1"/>
  <c r="R18" i="422"/>
  <c r="S18" i="422"/>
  <c r="O18" i="422"/>
  <c r="P18" i="422" s="1"/>
  <c r="M30" i="422" s="1"/>
  <c r="N30" i="422" s="1"/>
  <c r="M28" i="321"/>
  <c r="N28" i="321" s="1"/>
  <c r="N18" i="331"/>
  <c r="O18" i="331" s="1"/>
  <c r="P18" i="331" s="1"/>
  <c r="R18" i="321"/>
  <c r="S18" i="321"/>
  <c r="DA3" i="7"/>
  <c r="N20" i="330" s="1"/>
  <c r="O20" i="330" s="1"/>
  <c r="P20" i="330" s="1"/>
  <c r="N19" i="176" l="1"/>
  <c r="O19" i="176" s="1"/>
  <c r="P19" i="176" s="1"/>
  <c r="N22" i="621"/>
  <c r="O22" i="621" s="1"/>
  <c r="P22" i="621" s="1"/>
  <c r="O18" i="621"/>
  <c r="P18" i="621" s="1"/>
  <c r="N25" i="537"/>
  <c r="O25" i="537" s="1"/>
  <c r="P25" i="537" s="1"/>
  <c r="N19" i="634"/>
  <c r="O19" i="634" s="1"/>
  <c r="P19" i="634" s="1"/>
  <c r="M31" i="634" s="1"/>
  <c r="N31" i="634" s="1"/>
  <c r="N21" i="618"/>
  <c r="O21" i="618" s="1"/>
  <c r="P21" i="618" s="1"/>
  <c r="N30" i="219"/>
  <c r="O30" i="219" s="1"/>
  <c r="P30" i="219" s="1"/>
  <c r="N28" i="83"/>
  <c r="O28" i="83" s="1"/>
  <c r="P28" i="83" s="1"/>
  <c r="N25" i="41"/>
  <c r="O25" i="41" s="1"/>
  <c r="P25" i="41" s="1"/>
  <c r="N22" i="44"/>
  <c r="O22" i="44" s="1"/>
  <c r="P22" i="44" s="1"/>
  <c r="N20" i="366"/>
  <c r="O20" i="366" s="1"/>
  <c r="P20" i="366" s="1"/>
  <c r="N23" i="380"/>
  <c r="O23" i="380" s="1"/>
  <c r="P23" i="380" s="1"/>
  <c r="N25" i="617"/>
  <c r="O25" i="617" s="1"/>
  <c r="P25" i="617" s="1"/>
  <c r="M30" i="604"/>
  <c r="N30" i="604" s="1"/>
  <c r="N29" i="617"/>
  <c r="O29" i="617" s="1"/>
  <c r="P29" i="617" s="1"/>
  <c r="N27" i="44"/>
  <c r="O27" i="44" s="1"/>
  <c r="P27" i="44" s="1"/>
  <c r="N19" i="401"/>
  <c r="O19" i="401" s="1"/>
  <c r="P19" i="401" s="1"/>
  <c r="N24" i="366"/>
  <c r="O24" i="366" s="1"/>
  <c r="P24" i="366" s="1"/>
  <c r="N26" i="621"/>
  <c r="O26" i="621" s="1"/>
  <c r="P26" i="621" s="1"/>
  <c r="N22" i="366"/>
  <c r="O22" i="366" s="1"/>
  <c r="P22" i="366" s="1"/>
  <c r="N32" i="44"/>
  <c r="O32" i="44" s="1"/>
  <c r="P32" i="44" s="1"/>
  <c r="N26" i="618"/>
  <c r="O26" i="618" s="1"/>
  <c r="P26" i="618" s="1"/>
  <c r="N24" i="189"/>
  <c r="O24" i="189" s="1"/>
  <c r="P24" i="189" s="1"/>
  <c r="N23" i="618"/>
  <c r="O23" i="618" s="1"/>
  <c r="P23" i="618" s="1"/>
  <c r="N24" i="619"/>
  <c r="O24" i="619" s="1"/>
  <c r="P24" i="619" s="1"/>
  <c r="N23" i="619"/>
  <c r="O23" i="619" s="1"/>
  <c r="P23" i="619" s="1"/>
  <c r="N21" i="589"/>
  <c r="O21" i="589" s="1"/>
  <c r="P21" i="589" s="1"/>
  <c r="N19" i="391"/>
  <c r="O19" i="391" s="1"/>
  <c r="P19" i="391" s="1"/>
  <c r="N21" i="537"/>
  <c r="O21" i="537" s="1"/>
  <c r="P21" i="537" s="1"/>
  <c r="N32" i="219"/>
  <c r="O32" i="219" s="1"/>
  <c r="P32" i="219" s="1"/>
  <c r="N34" i="330"/>
  <c r="O34" i="330" s="1"/>
  <c r="P34" i="330" s="1"/>
  <c r="N20" i="51"/>
  <c r="O20" i="51" s="1"/>
  <c r="P20" i="51" s="1"/>
  <c r="N19" i="41"/>
  <c r="O19" i="41" s="1"/>
  <c r="P19" i="41" s="1"/>
  <c r="N24" i="589"/>
  <c r="O24" i="589" s="1"/>
  <c r="P24" i="589" s="1"/>
  <c r="N24" i="330"/>
  <c r="O24" i="330" s="1"/>
  <c r="P24" i="330" s="1"/>
  <c r="N21" i="391"/>
  <c r="O21" i="391" s="1"/>
  <c r="P21" i="391" s="1"/>
  <c r="M32" i="620"/>
  <c r="N19" i="219"/>
  <c r="O19" i="219" s="1"/>
  <c r="P19" i="219" s="1"/>
  <c r="N26" i="139"/>
  <c r="O26" i="139" s="1"/>
  <c r="P26" i="139" s="1"/>
  <c r="S18" i="524"/>
  <c r="R18" i="524"/>
  <c r="M30" i="524"/>
  <c r="N30" i="524" s="1"/>
  <c r="N19" i="330"/>
  <c r="O19" i="330" s="1"/>
  <c r="P19" i="330" s="1"/>
  <c r="N20" i="131"/>
  <c r="O20" i="131" s="1"/>
  <c r="P20" i="131" s="1"/>
  <c r="N24" i="590"/>
  <c r="O24" i="590" s="1"/>
  <c r="P24" i="590" s="1"/>
  <c r="N21" i="131"/>
  <c r="O21" i="131" s="1"/>
  <c r="P21" i="131" s="1"/>
  <c r="N20" i="219"/>
  <c r="O20" i="219" s="1"/>
  <c r="P20" i="219" s="1"/>
  <c r="N22" i="51"/>
  <c r="O22" i="51" s="1"/>
  <c r="P22" i="51" s="1"/>
  <c r="N20" i="139"/>
  <c r="O20" i="139" s="1"/>
  <c r="P20" i="139" s="1"/>
  <c r="N19" i="511"/>
  <c r="O19" i="511" s="1"/>
  <c r="P19" i="511" s="1"/>
  <c r="N25" i="219"/>
  <c r="O25" i="219" s="1"/>
  <c r="P25" i="219" s="1"/>
  <c r="N19" i="81"/>
  <c r="O19" i="81" s="1"/>
  <c r="P19" i="81" s="1"/>
  <c r="N23" i="139"/>
  <c r="O23" i="139" s="1"/>
  <c r="P23" i="139" s="1"/>
  <c r="S21" i="217"/>
  <c r="R19" i="68"/>
  <c r="S19" i="68"/>
  <c r="O19" i="68"/>
  <c r="P19" i="68" s="1"/>
  <c r="N18" i="494"/>
  <c r="O18" i="494" s="1"/>
  <c r="P18" i="494" s="1"/>
  <c r="N22" i="139"/>
  <c r="O22" i="139" s="1"/>
  <c r="P22" i="139" s="1"/>
  <c r="N24" i="139"/>
  <c r="O24" i="139" s="1"/>
  <c r="P24" i="139" s="1"/>
  <c r="O18" i="285"/>
  <c r="P18" i="285" s="1"/>
  <c r="S18" i="285"/>
  <c r="N18" i="81"/>
  <c r="O18" i="81" s="1"/>
  <c r="P18" i="81" s="1"/>
  <c r="M30" i="340"/>
  <c r="N30" i="340" s="1"/>
  <c r="N19" i="90"/>
  <c r="N19" i="139"/>
  <c r="O19" i="139" s="1"/>
  <c r="P19" i="139" s="1"/>
  <c r="M31" i="314"/>
  <c r="N31" i="314" s="1"/>
  <c r="S19" i="285"/>
  <c r="DA5" i="7"/>
  <c r="N18" i="551" l="1"/>
  <c r="O18" i="551" s="1"/>
  <c r="P18" i="551" s="1"/>
  <c r="N18" i="574"/>
  <c r="O18" i="574" s="1"/>
  <c r="P18" i="574" s="1"/>
  <c r="M33" i="574" s="1"/>
  <c r="N33" i="574" s="1"/>
  <c r="O19" i="90"/>
  <c r="P19" i="90" s="1"/>
  <c r="R19" i="90"/>
  <c r="N18" i="391"/>
  <c r="O18" i="391" s="1"/>
  <c r="P18" i="391" s="1"/>
  <c r="S19" i="217" l="1"/>
  <c r="R19" i="217"/>
  <c r="L42" i="44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3"/>
  <c r="P18" i="293" s="1"/>
  <c r="M30" i="293" s="1"/>
  <c r="L18" i="293"/>
  <c r="L30" i="293" s="1"/>
  <c r="L29" i="294" l="1"/>
  <c r="L30" i="294" l="1"/>
  <c r="L31" i="294" s="1"/>
  <c r="L31" i="293"/>
  <c r="L32" i="293" s="1"/>
  <c r="L32" i="294" l="1"/>
  <c r="L33" i="294" s="1"/>
  <c r="L33" i="293"/>
  <c r="L34" i="293" s="1"/>
  <c r="I263" i="6" l="1"/>
  <c r="H263" i="6"/>
  <c r="I262" i="6"/>
  <c r="H262" i="6"/>
  <c r="D263" i="6"/>
  <c r="D262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3" i="292" l="1"/>
  <c r="L34" i="292" s="1"/>
  <c r="L30" i="291"/>
  <c r="L31" i="291" l="1"/>
  <c r="L32" i="291" s="1"/>
  <c r="L33" i="291" l="1"/>
  <c r="L34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L31" i="290" l="1"/>
  <c r="L32" i="290" s="1"/>
  <c r="O18" i="287"/>
  <c r="P18" i="287" s="1"/>
  <c r="L18" i="287"/>
  <c r="L33" i="290" l="1"/>
  <c r="L34" i="290" s="1"/>
  <c r="L29" i="287"/>
  <c r="L30" i="287" l="1"/>
  <c r="L31" i="287" s="1"/>
  <c r="L32" i="287" s="1"/>
  <c r="L33" i="287" s="1"/>
  <c r="K18" i="286" l="1"/>
  <c r="I18" i="286"/>
  <c r="H18" i="286"/>
  <c r="D18" i="286"/>
  <c r="F11" i="286"/>
  <c r="F11" i="285"/>
  <c r="K18" i="283"/>
  <c r="I18" i="283"/>
  <c r="H18" i="283"/>
  <c r="D18" i="283"/>
  <c r="F11" i="283"/>
  <c r="K18" i="282"/>
  <c r="I18" i="282"/>
  <c r="H18" i="282"/>
  <c r="F11" i="282"/>
  <c r="N18" i="281"/>
  <c r="K18" i="281"/>
  <c r="I18" i="281"/>
  <c r="H18" i="281"/>
  <c r="D18" i="281"/>
  <c r="F11" i="281"/>
  <c r="F11" i="280"/>
  <c r="L18" i="286" l="1"/>
  <c r="M29" i="285"/>
  <c r="L29" i="285"/>
  <c r="L18" i="283"/>
  <c r="L37" i="283" s="1"/>
  <c r="L18" i="282"/>
  <c r="L31" i="282" s="1"/>
  <c r="O18" i="281"/>
  <c r="P18" i="281" s="1"/>
  <c r="L18" i="281"/>
  <c r="L28" i="280"/>
  <c r="L26" i="286" l="1"/>
  <c r="L30" i="285"/>
  <c r="L31" i="285" s="1"/>
  <c r="M31" i="281"/>
  <c r="L31" i="281"/>
  <c r="L32" i="281" s="1"/>
  <c r="L33" i="281" s="1"/>
  <c r="L38" i="283"/>
  <c r="L39" i="283" s="1"/>
  <c r="L32" i="282"/>
  <c r="L33" i="282" s="1"/>
  <c r="L29" i="280"/>
  <c r="L30" i="280" s="1"/>
  <c r="K18" i="124"/>
  <c r="N18" i="124"/>
  <c r="I18" i="124"/>
  <c r="H18" i="124"/>
  <c r="D18" i="124"/>
  <c r="L27" i="286" l="1"/>
  <c r="L28" i="286" s="1"/>
  <c r="L32" i="285"/>
  <c r="L33" i="285" s="1"/>
  <c r="N31" i="281"/>
  <c r="L40" i="283"/>
  <c r="L41" i="283" s="1"/>
  <c r="L34" i="282"/>
  <c r="L35" i="282" s="1"/>
  <c r="L34" i="281"/>
  <c r="L35" i="281" s="1"/>
  <c r="L31" i="280"/>
  <c r="L32" i="280" s="1"/>
  <c r="O18" i="124"/>
  <c r="P18" i="124" s="1"/>
  <c r="L18" i="124"/>
  <c r="L29" i="124" s="1"/>
  <c r="L29" i="286" l="1"/>
  <c r="L30" i="286" s="1"/>
  <c r="I247" i="7"/>
  <c r="CS247" i="7" s="1"/>
  <c r="I222" i="7"/>
  <c r="CS222" i="7" s="1"/>
  <c r="I217" i="7"/>
  <c r="CS217" i="7" s="1"/>
  <c r="I18" i="278"/>
  <c r="H18" i="278"/>
  <c r="D18" i="278"/>
  <c r="F11" i="278"/>
  <c r="M34" i="278" l="1"/>
  <c r="L18" i="278"/>
  <c r="L34" i="278" l="1"/>
  <c r="K18" i="277"/>
  <c r="L18" i="277" s="1"/>
  <c r="L32" i="277" s="1"/>
  <c r="I18" i="277"/>
  <c r="H18" i="277"/>
  <c r="F11" i="277"/>
  <c r="L35" i="278" l="1"/>
  <c r="L36" i="278" s="1"/>
  <c r="L33" i="277"/>
  <c r="L34" i="277" s="1"/>
  <c r="L37" i="278" l="1"/>
  <c r="L38" i="278" s="1"/>
  <c r="L35" i="277"/>
  <c r="L36" i="277" s="1"/>
  <c r="N18" i="276" l="1"/>
  <c r="K18" i="276"/>
  <c r="I18" i="276"/>
  <c r="H18" i="276"/>
  <c r="D18" i="276"/>
  <c r="F11" i="276"/>
  <c r="O18" i="276" l="1"/>
  <c r="P18" i="276" s="1"/>
  <c r="M30" i="276" s="1"/>
  <c r="L18" i="276"/>
  <c r="L30" i="276" s="1"/>
  <c r="N30" i="276" l="1"/>
  <c r="L31" i="276"/>
  <c r="L32" i="276" s="1"/>
  <c r="L33" i="276" l="1"/>
  <c r="L34" i="276" s="1"/>
  <c r="N18" i="274" l="1"/>
  <c r="K18" i="274"/>
  <c r="I18" i="274"/>
  <c r="H18" i="274"/>
  <c r="D18" i="274"/>
  <c r="F11" i="274"/>
  <c r="I18" i="273"/>
  <c r="H18" i="273"/>
  <c r="D18" i="273"/>
  <c r="F11" i="273"/>
  <c r="O18" i="274" l="1"/>
  <c r="P18" i="274" s="1"/>
  <c r="M29" i="274" s="1"/>
  <c r="L30" i="273"/>
  <c r="L31" i="273" s="1"/>
  <c r="L32" i="273" s="1"/>
  <c r="L18" i="274"/>
  <c r="L29" i="274" s="1"/>
  <c r="L30" i="274" l="1"/>
  <c r="L31" i="274" s="1"/>
  <c r="L33" i="273"/>
  <c r="L34" i="273" s="1"/>
  <c r="L32" i="274" l="1"/>
  <c r="L33" i="274" s="1"/>
  <c r="N1048564" i="76" l="1"/>
  <c r="K1048564" i="76"/>
  <c r="I1048564" i="76"/>
  <c r="H1048564" i="76"/>
  <c r="O1048564" i="76" l="1"/>
  <c r="P1048564" i="76" s="1"/>
  <c r="L1048564" i="76"/>
  <c r="N19" i="65" l="1"/>
  <c r="K19" i="65"/>
  <c r="I19" i="65"/>
  <c r="H19" i="65"/>
  <c r="D19" i="65"/>
  <c r="O19" i="65" l="1"/>
  <c r="P19" i="65" s="1"/>
  <c r="L19" i="65"/>
  <c r="L35" i="270" l="1"/>
  <c r="F11" i="270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32" i="268"/>
  <c r="L33" i="268" s="1"/>
  <c r="L34" i="268" s="1"/>
  <c r="L36" i="270" l="1"/>
  <c r="L37" i="270" s="1"/>
  <c r="L35" i="268"/>
  <c r="L36" i="268" s="1"/>
  <c r="L38" i="270" l="1"/>
  <c r="L39" i="270" s="1"/>
  <c r="D18" i="76" l="1"/>
  <c r="K18" i="219"/>
  <c r="L18" i="219" s="1"/>
  <c r="L44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O15" i="249" l="1"/>
  <c r="F11" i="181" l="1"/>
  <c r="N9" i="181"/>
  <c r="D18" i="239" l="1"/>
  <c r="N19" i="185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L32" i="102" s="1"/>
  <c r="H18" i="76" l="1"/>
  <c r="I18" i="76"/>
  <c r="K18" i="76"/>
  <c r="L18" i="76" s="1"/>
  <c r="L31" i="76" s="1"/>
  <c r="AM239" i="7" l="1"/>
  <c r="I18" i="255" l="1"/>
  <c r="H18" i="255"/>
  <c r="D18" i="255"/>
  <c r="F11" i="255"/>
  <c r="L18" i="255" l="1"/>
  <c r="L29" i="255" s="1"/>
  <c r="L30" i="255" l="1"/>
  <c r="L31" i="255" s="1"/>
  <c r="L32" i="255" l="1"/>
  <c r="L33" i="255" s="1"/>
  <c r="N34" i="278"/>
  <c r="N18" i="255" l="1"/>
  <c r="O18" i="255" s="1"/>
  <c r="P18" i="255" s="1"/>
  <c r="D18" i="90" l="1"/>
  <c r="I18" i="50"/>
  <c r="N18" i="235" l="1"/>
  <c r="K18" i="235"/>
  <c r="I18" i="235"/>
  <c r="H18" i="235"/>
  <c r="F11" i="70"/>
  <c r="O18" i="235" l="1"/>
  <c r="P18" i="235" s="1"/>
  <c r="L18" i="235"/>
  <c r="K58" i="96" l="1"/>
  <c r="I58" i="96"/>
  <c r="H58" i="96"/>
  <c r="D58" i="96"/>
  <c r="I23" i="121" l="1"/>
  <c r="H23" i="121"/>
  <c r="D23" i="121"/>
  <c r="K18" i="67" l="1"/>
  <c r="I18" i="67"/>
  <c r="H18" i="67"/>
  <c r="H261" i="7"/>
  <c r="DA261" i="7" s="1"/>
  <c r="L18" i="67" l="1"/>
  <c r="I60" i="139"/>
  <c r="H60" i="139"/>
  <c r="D60" i="139"/>
  <c r="K18" i="83" l="1"/>
  <c r="L18" i="83" s="1"/>
  <c r="I18" i="83"/>
  <c r="H18" i="83"/>
  <c r="DA195" i="68" l="1"/>
  <c r="DA194" i="68"/>
  <c r="DA200" i="68"/>
  <c r="I25" i="139" l="1"/>
  <c r="H25" i="139"/>
  <c r="D25" i="139"/>
  <c r="I21" i="139"/>
  <c r="H21" i="139"/>
  <c r="D21" i="139"/>
  <c r="N18" i="146" l="1"/>
  <c r="K56" i="96" l="1"/>
  <c r="I56" i="96"/>
  <c r="H56" i="96"/>
  <c r="D56" i="96"/>
  <c r="K57" i="96"/>
  <c r="I57" i="96"/>
  <c r="H57" i="96"/>
  <c r="D57" i="96"/>
  <c r="F11" i="81" l="1"/>
  <c r="N18" i="36" l="1"/>
  <c r="K18" i="249" l="1"/>
  <c r="I18" i="249"/>
  <c r="H18" i="249"/>
  <c r="D18" i="249"/>
  <c r="F11" i="249"/>
  <c r="L18" i="249" l="1"/>
  <c r="L29" i="249" s="1"/>
  <c r="N29" i="249" l="1"/>
  <c r="L30" i="249"/>
  <c r="L31" i="249" s="1"/>
  <c r="L32" i="249" l="1"/>
  <c r="L33" i="249" s="1"/>
  <c r="N18" i="248"/>
  <c r="K18" i="248"/>
  <c r="I18" i="248"/>
  <c r="H18" i="248"/>
  <c r="D18" i="248"/>
  <c r="F11" i="248"/>
  <c r="O18" i="248" l="1"/>
  <c r="P18" i="248" s="1"/>
  <c r="M27" i="248" s="1"/>
  <c r="L18" i="248"/>
  <c r="L27" i="248" s="1"/>
  <c r="N27" i="248" l="1"/>
  <c r="L28" i="248"/>
  <c r="L29" i="248" s="1"/>
  <c r="F11" i="246"/>
  <c r="L30" i="248" l="1"/>
  <c r="L31" i="248" s="1"/>
  <c r="L37" i="246" l="1"/>
  <c r="L38" i="246" s="1"/>
  <c r="L39" i="246" l="1"/>
  <c r="L40" i="246" s="1"/>
  <c r="N18" i="121" l="1"/>
  <c r="I30" i="139" l="1"/>
  <c r="H30" i="139"/>
  <c r="D30" i="139"/>
  <c r="L30" i="139" l="1"/>
  <c r="K18" i="169" l="1"/>
  <c r="I18" i="169"/>
  <c r="H18" i="169"/>
  <c r="L18" i="169" l="1"/>
  <c r="N18" i="119" l="1"/>
  <c r="N18" i="106"/>
  <c r="N18" i="176"/>
  <c r="H107" i="7" l="1"/>
  <c r="DA107" i="7" l="1"/>
  <c r="N23" i="219" s="1"/>
  <c r="O23" i="219" s="1"/>
  <c r="P23" i="219" s="1"/>
  <c r="N18" i="181"/>
  <c r="O18" i="181" s="1"/>
  <c r="P18" i="181" s="1"/>
  <c r="M31" i="181" s="1"/>
  <c r="N18" i="480" l="1"/>
  <c r="O18" i="480" s="1"/>
  <c r="P18" i="480" s="1"/>
  <c r="M31" i="480" s="1"/>
  <c r="N31" i="480" s="1"/>
  <c r="N18" i="330"/>
  <c r="O18" i="330" s="1"/>
  <c r="P18" i="330" s="1"/>
  <c r="D18" i="238"/>
  <c r="N18" i="97" l="1"/>
  <c r="N18" i="169" l="1"/>
  <c r="O18" i="169" s="1"/>
  <c r="P18" i="169" s="1"/>
  <c r="M35" i="169" s="1"/>
  <c r="N18" i="150"/>
  <c r="S20" i="217" l="1"/>
  <c r="R20" i="217"/>
  <c r="N18" i="70" l="1"/>
  <c r="R18" i="70" s="1"/>
  <c r="S12" i="117"/>
  <c r="T12" i="117" s="1"/>
  <c r="S13" i="117"/>
  <c r="T13" i="117" s="1"/>
  <c r="T15" i="117" l="1"/>
  <c r="U15" i="117" s="1"/>
  <c r="V15" i="117" s="1"/>
  <c r="W15" i="117" s="1"/>
  <c r="N18" i="187" l="1"/>
  <c r="N19" i="45"/>
  <c r="N18" i="45"/>
  <c r="N21" i="222"/>
  <c r="N18" i="222"/>
  <c r="N18" i="230"/>
  <c r="O18" i="227"/>
  <c r="P18" i="227" s="1"/>
  <c r="N18" i="228"/>
  <c r="N18" i="139"/>
  <c r="N18" i="215" l="1"/>
  <c r="M30" i="291" l="1"/>
  <c r="N30" i="291" s="1"/>
  <c r="M29" i="255"/>
  <c r="N29" i="255" s="1"/>
  <c r="N18" i="286"/>
  <c r="O18" i="286" s="1"/>
  <c r="P18" i="286" s="1"/>
  <c r="M26" i="286" s="1"/>
  <c r="N26" i="286" s="1"/>
  <c r="M32" i="268"/>
  <c r="N18" i="219"/>
  <c r="O18" i="219" s="1"/>
  <c r="P18" i="219" s="1"/>
  <c r="N30" i="293"/>
  <c r="M29" i="294"/>
  <c r="N29" i="294" s="1"/>
  <c r="M30" i="292"/>
  <c r="N30" i="292" s="1"/>
  <c r="M31" i="282"/>
  <c r="M30" i="290"/>
  <c r="N30" i="290" s="1"/>
  <c r="M30" i="273"/>
  <c r="N30" i="273" s="1"/>
  <c r="M29" i="287"/>
  <c r="N29" i="287" s="1"/>
  <c r="N18" i="283"/>
  <c r="O18" i="283" s="1"/>
  <c r="P18" i="283" s="1"/>
  <c r="M37" i="283" s="1"/>
  <c r="N37" i="283" s="1"/>
  <c r="N29" i="274"/>
  <c r="N18" i="78"/>
  <c r="M31" i="269"/>
  <c r="N31" i="269" s="1"/>
  <c r="N18" i="90"/>
  <c r="R18" i="90" s="1"/>
  <c r="N18" i="185"/>
  <c r="N30" i="139"/>
  <c r="O30" i="139" s="1"/>
  <c r="P30" i="139" s="1"/>
  <c r="N18" i="83"/>
  <c r="O18" i="83" s="1"/>
  <c r="P18" i="83" s="1"/>
  <c r="N18" i="184"/>
  <c r="N21" i="139"/>
  <c r="N18" i="65"/>
  <c r="N18" i="120"/>
  <c r="N18" i="238"/>
  <c r="N18" i="239"/>
  <c r="N18" i="46"/>
  <c r="N18" i="86"/>
  <c r="N18" i="131"/>
  <c r="N18" i="217"/>
  <c r="N18" i="214"/>
  <c r="N18" i="209"/>
  <c r="N18" i="204"/>
  <c r="N18" i="216"/>
  <c r="N19" i="46"/>
  <c r="Q41" i="41"/>
  <c r="S18" i="217" l="1"/>
  <c r="R18" i="217"/>
  <c r="S20" i="120"/>
  <c r="N29" i="285"/>
  <c r="S19" i="120"/>
  <c r="M28" i="280"/>
  <c r="N28" i="280" s="1"/>
  <c r="M32" i="277" l="1"/>
  <c r="N32" i="277" s="1"/>
  <c r="L32" i="243" l="1"/>
  <c r="L33" i="243" l="1"/>
  <c r="L34" i="243" s="1"/>
  <c r="L35" i="243" l="1"/>
  <c r="L36" i="243" s="1"/>
  <c r="K18" i="215" l="1"/>
  <c r="O18" i="215" s="1"/>
  <c r="P18" i="215" s="1"/>
  <c r="K18" i="239" l="1"/>
  <c r="O18" i="239" s="1"/>
  <c r="P18" i="239" s="1"/>
  <c r="M30" i="239" s="1"/>
  <c r="I18" i="239"/>
  <c r="H18" i="239"/>
  <c r="F11" i="239"/>
  <c r="L18" i="239" l="1"/>
  <c r="L30" i="239" s="1"/>
  <c r="L31" i="239" s="1"/>
  <c r="L32" i="239" s="1"/>
  <c r="N30" i="239" l="1"/>
  <c r="L33" i="239"/>
  <c r="L34" i="239" s="1"/>
  <c r="H379" i="7" l="1"/>
  <c r="DA379" i="7" s="1"/>
  <c r="H377" i="7"/>
  <c r="DA377" i="7" s="1"/>
  <c r="K18" i="238" l="1"/>
  <c r="O18" i="238" s="1"/>
  <c r="P18" i="238" s="1"/>
  <c r="I18" i="238"/>
  <c r="H18" i="238"/>
  <c r="F11" i="238"/>
  <c r="M32" i="238" l="1"/>
  <c r="L18" i="238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K18" i="236" l="1"/>
  <c r="I18" i="236"/>
  <c r="H18" i="236"/>
  <c r="D18" i="236"/>
  <c r="F11" i="236"/>
  <c r="F11" i="235"/>
  <c r="M32" i="235" l="1"/>
  <c r="L18" i="236"/>
  <c r="D18" i="235"/>
  <c r="L32" i="235" l="1"/>
  <c r="L33" i="235" s="1"/>
  <c r="L34" i="235" s="1"/>
  <c r="L35" i="235" s="1"/>
  <c r="L36" i="235" s="1"/>
  <c r="L29" i="236"/>
  <c r="N32" i="235" l="1"/>
  <c r="L30" i="236"/>
  <c r="L31" i="236" s="1"/>
  <c r="L32" i="236" s="1"/>
  <c r="L33" i="236" s="1"/>
  <c r="F11" i="233" l="1"/>
  <c r="K18" i="233" l="1"/>
  <c r="N18" i="233"/>
  <c r="D18" i="233"/>
  <c r="H18" i="233"/>
  <c r="I18" i="233"/>
  <c r="O18" i="233" l="1"/>
  <c r="P18" i="233" s="1"/>
  <c r="M30" i="233" s="1"/>
  <c r="L18" i="233"/>
  <c r="L30" i="233" l="1"/>
  <c r="N30" i="233" s="1"/>
  <c r="L32" i="233" l="1"/>
  <c r="F11" i="232"/>
  <c r="L33" i="233" l="1"/>
  <c r="L34" i="233" s="1"/>
  <c r="L29" i="232"/>
  <c r="L30" i="232" l="1"/>
  <c r="L31" i="232" s="1"/>
  <c r="L32" i="232" s="1"/>
  <c r="L33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K18" i="228"/>
  <c r="O18" i="228" s="1"/>
  <c r="P18" i="228" s="1"/>
  <c r="D18" i="83" l="1"/>
  <c r="H309" i="7" l="1"/>
  <c r="DA309" i="7" s="1"/>
  <c r="I18" i="217"/>
  <c r="D18" i="217"/>
  <c r="K18" i="204"/>
  <c r="I18" i="204"/>
  <c r="H18" i="204"/>
  <c r="D18" i="204"/>
  <c r="L18" i="217" l="1"/>
  <c r="O18" i="217"/>
  <c r="P18" i="217" s="1"/>
  <c r="L18" i="204"/>
  <c r="L34" i="204" s="1"/>
  <c r="O18" i="204"/>
  <c r="P18" i="204" s="1"/>
  <c r="I19" i="184" l="1"/>
  <c r="H19" i="184"/>
  <c r="D19" i="184"/>
  <c r="K18" i="176" l="1"/>
  <c r="O18" i="176" s="1"/>
  <c r="P18" i="176" s="1"/>
  <c r="L41" i="49" l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29" i="230" s="1"/>
  <c r="L30" i="230" s="1"/>
  <c r="L31" i="230" s="1"/>
  <c r="O18" i="230"/>
  <c r="P18" i="230" s="1"/>
  <c r="M29" i="230" s="1"/>
  <c r="D18" i="68"/>
  <c r="O18" i="68" l="1"/>
  <c r="P18" i="68" s="1"/>
  <c r="M30" i="68" s="1"/>
  <c r="R18" i="68"/>
  <c r="N29" i="230"/>
  <c r="L32" i="230"/>
  <c r="L33" i="230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K22" i="179" l="1"/>
  <c r="L22" i="179" s="1"/>
  <c r="I22" i="179"/>
  <c r="H22" i="179"/>
  <c r="D22" i="179"/>
  <c r="K21" i="179"/>
  <c r="L21" i="179" s="1"/>
  <c r="I21" i="179"/>
  <c r="H21" i="179"/>
  <c r="D21" i="179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D18" i="221" l="1"/>
  <c r="F11" i="221"/>
  <c r="L27" i="221" l="1"/>
  <c r="L28" i="221" l="1"/>
  <c r="L29" i="221" s="1"/>
  <c r="L30" i="221" l="1"/>
  <c r="L31" i="221" s="1"/>
  <c r="O18" i="78" l="1"/>
  <c r="P18" i="78" s="1"/>
  <c r="D18" i="185" l="1"/>
  <c r="H108" i="7" l="1"/>
  <c r="H213" i="7"/>
  <c r="H258" i="7"/>
  <c r="DA258" i="7" s="1"/>
  <c r="H237" i="7"/>
  <c r="H207" i="7"/>
  <c r="DA207" i="7" s="1"/>
  <c r="DA108" i="7" l="1"/>
  <c r="N20" i="619" s="1"/>
  <c r="O20" i="619" s="1"/>
  <c r="P20" i="619" s="1"/>
  <c r="H110" i="7"/>
  <c r="DA110" i="7" s="1"/>
  <c r="N35" i="44" s="1"/>
  <c r="O35" i="44" s="1"/>
  <c r="P35" i="44" s="1"/>
  <c r="DA213" i="7"/>
  <c r="H214" i="7"/>
  <c r="DA214" i="7" s="1"/>
  <c r="DA237" i="7"/>
  <c r="N21" i="145" s="1"/>
  <c r="O21" i="145" s="1"/>
  <c r="P21" i="145" s="1"/>
  <c r="H238" i="7"/>
  <c r="DA238" i="7" s="1"/>
  <c r="M31" i="427"/>
  <c r="N31" i="427" s="1"/>
  <c r="N20" i="189"/>
  <c r="O20" i="189" s="1"/>
  <c r="P20" i="189" s="1"/>
  <c r="N18" i="432"/>
  <c r="N18" i="44"/>
  <c r="O18" i="44" s="1"/>
  <c r="P18" i="44" s="1"/>
  <c r="M35" i="445"/>
  <c r="N35" i="445" s="1"/>
  <c r="N18" i="443"/>
  <c r="O18" i="443" s="1"/>
  <c r="P18" i="443" s="1"/>
  <c r="M32" i="443" s="1"/>
  <c r="N18" i="366"/>
  <c r="O18" i="366" s="1"/>
  <c r="P18" i="366" s="1"/>
  <c r="H239" i="7"/>
  <c r="DA239" i="7" s="1"/>
  <c r="H216" i="7"/>
  <c r="DA216" i="7" s="1"/>
  <c r="H215" i="7"/>
  <c r="DA215" i="7" s="1"/>
  <c r="N28" i="139"/>
  <c r="O28" i="139" s="1"/>
  <c r="P28" i="139" s="1"/>
  <c r="H132" i="7"/>
  <c r="DA132" i="7" s="1"/>
  <c r="H372" i="7"/>
  <c r="N20" i="176" l="1"/>
  <c r="O20" i="176" s="1"/>
  <c r="P20" i="176" s="1"/>
  <c r="N23" i="621"/>
  <c r="O23" i="621" s="1"/>
  <c r="P23" i="621" s="1"/>
  <c r="N20" i="589"/>
  <c r="O20" i="589" s="1"/>
  <c r="P20" i="589" s="1"/>
  <c r="N19" i="589"/>
  <c r="O19" i="589" s="1"/>
  <c r="P19" i="589" s="1"/>
  <c r="N28" i="380"/>
  <c r="O28" i="380" s="1"/>
  <c r="P28" i="380" s="1"/>
  <c r="N27" i="83"/>
  <c r="O27" i="83" s="1"/>
  <c r="P27" i="83" s="1"/>
  <c r="N22" i="618"/>
  <c r="O22" i="618" s="1"/>
  <c r="P22" i="618" s="1"/>
  <c r="N25" i="44"/>
  <c r="O25" i="44" s="1"/>
  <c r="P25" i="44" s="1"/>
  <c r="N23" i="41"/>
  <c r="O23" i="41" s="1"/>
  <c r="P23" i="41" s="1"/>
  <c r="N25" i="380"/>
  <c r="O25" i="380" s="1"/>
  <c r="P25" i="380" s="1"/>
  <c r="N22" i="189"/>
  <c r="O22" i="189" s="1"/>
  <c r="P22" i="189" s="1"/>
  <c r="N23" i="44"/>
  <c r="O23" i="44" s="1"/>
  <c r="P23" i="44" s="1"/>
  <c r="N22" i="432"/>
  <c r="O22" i="432" s="1"/>
  <c r="P22" i="432" s="1"/>
  <c r="N25" i="83"/>
  <c r="O25" i="83" s="1"/>
  <c r="P25" i="83" s="1"/>
  <c r="N33" i="44"/>
  <c r="O33" i="44" s="1"/>
  <c r="P33" i="44" s="1"/>
  <c r="N21" i="588"/>
  <c r="O21" i="588" s="1"/>
  <c r="P21" i="588" s="1"/>
  <c r="N20" i="391"/>
  <c r="O20" i="391" s="1"/>
  <c r="P20" i="391" s="1"/>
  <c r="N28" i="44"/>
  <c r="O28" i="44" s="1"/>
  <c r="P28" i="44" s="1"/>
  <c r="N25" i="330"/>
  <c r="O25" i="330" s="1"/>
  <c r="P25" i="330" s="1"/>
  <c r="N27" i="366"/>
  <c r="O27" i="366" s="1"/>
  <c r="P27" i="366" s="1"/>
  <c r="N34" i="617"/>
  <c r="O34" i="617" s="1"/>
  <c r="P34" i="617" s="1"/>
  <c r="N20" i="621"/>
  <c r="O20" i="621" s="1"/>
  <c r="P20" i="621" s="1"/>
  <c r="N20" i="617"/>
  <c r="O20" i="617" s="1"/>
  <c r="P20" i="617" s="1"/>
  <c r="N29" i="366"/>
  <c r="O29" i="366" s="1"/>
  <c r="P29" i="366" s="1"/>
  <c r="N20" i="44"/>
  <c r="O20" i="44" s="1"/>
  <c r="P20" i="44" s="1"/>
  <c r="N29" i="44"/>
  <c r="O29" i="44" s="1"/>
  <c r="P29" i="44" s="1"/>
  <c r="N19" i="590"/>
  <c r="O19" i="590" s="1"/>
  <c r="P19" i="590" s="1"/>
  <c r="N20" i="432"/>
  <c r="O20" i="432" s="1"/>
  <c r="P20" i="432" s="1"/>
  <c r="N18" i="589"/>
  <c r="O18" i="589" s="1"/>
  <c r="P18" i="589" s="1"/>
  <c r="N27" i="618"/>
  <c r="O27" i="618" s="1"/>
  <c r="P27" i="618" s="1"/>
  <c r="N23" i="432"/>
  <c r="O23" i="432" s="1"/>
  <c r="P23" i="432" s="1"/>
  <c r="N26" i="617"/>
  <c r="O26" i="617" s="1"/>
  <c r="P26" i="617" s="1"/>
  <c r="N19" i="618"/>
  <c r="O19" i="618" s="1"/>
  <c r="P19" i="618" s="1"/>
  <c r="N24" i="537"/>
  <c r="O24" i="537" s="1"/>
  <c r="P24" i="537" s="1"/>
  <c r="N25" i="366"/>
  <c r="O25" i="366" s="1"/>
  <c r="P25" i="366" s="1"/>
  <c r="N27" i="590"/>
  <c r="O27" i="590" s="1"/>
  <c r="P27" i="590" s="1"/>
  <c r="N22" i="588"/>
  <c r="O22" i="588" s="1"/>
  <c r="P22" i="588" s="1"/>
  <c r="N29" i="619"/>
  <c r="O29" i="619" s="1"/>
  <c r="P29" i="619" s="1"/>
  <c r="N27" i="330"/>
  <c r="O27" i="330" s="1"/>
  <c r="P27" i="330" s="1"/>
  <c r="N25" i="619"/>
  <c r="O25" i="619" s="1"/>
  <c r="P25" i="619" s="1"/>
  <c r="N21" i="189"/>
  <c r="O21" i="189" s="1"/>
  <c r="P21" i="189" s="1"/>
  <c r="N19" i="366"/>
  <c r="O19" i="366" s="1"/>
  <c r="P19" i="366" s="1"/>
  <c r="N22" i="589"/>
  <c r="O22" i="589" s="1"/>
  <c r="P22" i="589" s="1"/>
  <c r="N21" i="366"/>
  <c r="O21" i="366" s="1"/>
  <c r="P21" i="366" s="1"/>
  <c r="N31" i="219"/>
  <c r="O31" i="219" s="1"/>
  <c r="P31" i="219" s="1"/>
  <c r="N21" i="401"/>
  <c r="O21" i="401" s="1"/>
  <c r="P21" i="401" s="1"/>
  <c r="N28" i="219"/>
  <c r="O28" i="219" s="1"/>
  <c r="P28" i="219" s="1"/>
  <c r="N22" i="391"/>
  <c r="O22" i="391" s="1"/>
  <c r="P22" i="391" s="1"/>
  <c r="N19" i="145"/>
  <c r="O19" i="145" s="1"/>
  <c r="P19" i="145" s="1"/>
  <c r="N18" i="67"/>
  <c r="O18" i="67" s="1"/>
  <c r="P18" i="67" s="1"/>
  <c r="N24" i="219"/>
  <c r="O24" i="219" s="1"/>
  <c r="P24" i="219" s="1"/>
  <c r="N19" i="370"/>
  <c r="O19" i="370" s="1"/>
  <c r="P19" i="370" s="1"/>
  <c r="N27" i="617"/>
  <c r="O27" i="617" s="1"/>
  <c r="P27" i="617" s="1"/>
  <c r="N22" i="619"/>
  <c r="O22" i="619" s="1"/>
  <c r="P22" i="619" s="1"/>
  <c r="N25" i="189"/>
  <c r="O25" i="189" s="1"/>
  <c r="P25" i="189" s="1"/>
  <c r="N30" i="619"/>
  <c r="O30" i="619" s="1"/>
  <c r="P30" i="619" s="1"/>
  <c r="N20" i="588"/>
  <c r="O20" i="588" s="1"/>
  <c r="P20" i="588" s="1"/>
  <c r="N23" i="51"/>
  <c r="O23" i="51" s="1"/>
  <c r="P23" i="51" s="1"/>
  <c r="N22" i="617"/>
  <c r="O22" i="617" s="1"/>
  <c r="P22" i="617" s="1"/>
  <c r="N23" i="366"/>
  <c r="O23" i="366" s="1"/>
  <c r="P23" i="366" s="1"/>
  <c r="N20" i="41"/>
  <c r="O20" i="41" s="1"/>
  <c r="P20" i="41" s="1"/>
  <c r="N18" i="590"/>
  <c r="O18" i="590" s="1"/>
  <c r="P18" i="590" s="1"/>
  <c r="N31" i="330"/>
  <c r="O31" i="330" s="1"/>
  <c r="P31" i="330" s="1"/>
  <c r="N23" i="589"/>
  <c r="O23" i="589" s="1"/>
  <c r="P23" i="589" s="1"/>
  <c r="N19" i="617"/>
  <c r="O19" i="617" s="1"/>
  <c r="P19" i="617" s="1"/>
  <c r="N27" i="619"/>
  <c r="O27" i="619" s="1"/>
  <c r="P27" i="619" s="1"/>
  <c r="N19" i="432"/>
  <c r="O19" i="432" s="1"/>
  <c r="P19" i="432" s="1"/>
  <c r="N32" i="330"/>
  <c r="O32" i="330" s="1"/>
  <c r="P32" i="330" s="1"/>
  <c r="N18" i="619"/>
  <c r="O18" i="619" s="1"/>
  <c r="P18" i="619" s="1"/>
  <c r="N32" i="617"/>
  <c r="O32" i="617" s="1"/>
  <c r="P32" i="617" s="1"/>
  <c r="N21" i="204"/>
  <c r="O21" i="204" s="1"/>
  <c r="P21" i="204" s="1"/>
  <c r="N29" i="330"/>
  <c r="O29" i="330" s="1"/>
  <c r="P29" i="330" s="1"/>
  <c r="N36" i="330"/>
  <c r="O36" i="330" s="1"/>
  <c r="P36" i="330" s="1"/>
  <c r="N26" i="219"/>
  <c r="O26" i="219" s="1"/>
  <c r="P26" i="219" s="1"/>
  <c r="N21" i="41"/>
  <c r="N18" i="51"/>
  <c r="O18" i="51" s="1"/>
  <c r="P18" i="51" s="1"/>
  <c r="N24" i="41"/>
  <c r="N23" i="330"/>
  <c r="O23" i="330" s="1"/>
  <c r="P23" i="330" s="1"/>
  <c r="N18" i="588"/>
  <c r="O18" i="588" s="1"/>
  <c r="P18" i="588" s="1"/>
  <c r="N19" i="189"/>
  <c r="O19" i="189" s="1"/>
  <c r="P19" i="189" s="1"/>
  <c r="N26" i="366"/>
  <c r="O26" i="366" s="1"/>
  <c r="P26" i="366" s="1"/>
  <c r="M31" i="608"/>
  <c r="N20" i="184"/>
  <c r="O20" i="184" s="1"/>
  <c r="P20" i="184" s="1"/>
  <c r="N19" i="598"/>
  <c r="O19" i="598" s="1"/>
  <c r="P19" i="598" s="1"/>
  <c r="N23" i="598"/>
  <c r="O23" i="598" s="1"/>
  <c r="P23" i="598" s="1"/>
  <c r="N27" i="219"/>
  <c r="O27" i="219" s="1"/>
  <c r="P27" i="219" s="1"/>
  <c r="N21" i="184"/>
  <c r="O21" i="184" s="1"/>
  <c r="P21" i="184" s="1"/>
  <c r="N18" i="511"/>
  <c r="O18" i="511" s="1"/>
  <c r="P18" i="511" s="1"/>
  <c r="M31" i="511" s="1"/>
  <c r="N31" i="511" s="1"/>
  <c r="N19" i="338"/>
  <c r="O19" i="338" s="1"/>
  <c r="P19" i="338" s="1"/>
  <c r="M34" i="176"/>
  <c r="N18" i="370"/>
  <c r="O18" i="370" s="1"/>
  <c r="P18" i="370" s="1"/>
  <c r="N18" i="338"/>
  <c r="O18" i="338" s="1"/>
  <c r="P18" i="338" s="1"/>
  <c r="N22" i="219"/>
  <c r="O22" i="219" s="1"/>
  <c r="P22" i="219" s="1"/>
  <c r="N18" i="232"/>
  <c r="N21" i="51"/>
  <c r="O21" i="51" s="1"/>
  <c r="P21" i="51" s="1"/>
  <c r="N18" i="466"/>
  <c r="O18" i="466" s="1"/>
  <c r="P18" i="466" s="1"/>
  <c r="M30" i="466" s="1"/>
  <c r="N30" i="466" s="1"/>
  <c r="N18" i="499"/>
  <c r="O18" i="499" s="1"/>
  <c r="P18" i="499" s="1"/>
  <c r="M29" i="499" s="1"/>
  <c r="N24" i="145"/>
  <c r="O24" i="145" s="1"/>
  <c r="P24" i="145" s="1"/>
  <c r="N21" i="219"/>
  <c r="O21" i="219" s="1"/>
  <c r="P21" i="219" s="1"/>
  <c r="N18" i="116"/>
  <c r="N19" i="551"/>
  <c r="O19" i="551" s="1"/>
  <c r="P19" i="551" s="1"/>
  <c r="M35" i="551" s="1"/>
  <c r="N35" i="551" s="1"/>
  <c r="M33" i="527"/>
  <c r="N33" i="527" s="1"/>
  <c r="N19" i="67"/>
  <c r="O19" i="67" s="1"/>
  <c r="P19" i="67" s="1"/>
  <c r="N19" i="478"/>
  <c r="O19" i="478" s="1"/>
  <c r="P19" i="478" s="1"/>
  <c r="M30" i="478" s="1"/>
  <c r="N30" i="478" s="1"/>
  <c r="N18" i="174"/>
  <c r="O18" i="174" s="1"/>
  <c r="P18" i="174" s="1"/>
  <c r="M31" i="331"/>
  <c r="N31" i="331" s="1"/>
  <c r="M36" i="543"/>
  <c r="N36" i="543" s="1"/>
  <c r="R21" i="409"/>
  <c r="M34" i="477"/>
  <c r="N34" i="477" s="1"/>
  <c r="DA372" i="7"/>
  <c r="R18" i="366"/>
  <c r="M31" i="424"/>
  <c r="N31" i="424" s="1"/>
  <c r="N19" i="174"/>
  <c r="O19" i="174" s="1"/>
  <c r="P19" i="174" s="1"/>
  <c r="N18" i="409"/>
  <c r="N18" i="380"/>
  <c r="N18" i="64"/>
  <c r="O18" i="64" s="1"/>
  <c r="P18" i="64" s="1"/>
  <c r="N20" i="182"/>
  <c r="O20" i="182" s="1"/>
  <c r="P20" i="182" s="1"/>
  <c r="N25" i="139"/>
  <c r="N19" i="182"/>
  <c r="O19" i="182" s="1"/>
  <c r="P19" i="182" s="1"/>
  <c r="N18" i="332"/>
  <c r="N18" i="145"/>
  <c r="N19" i="184"/>
  <c r="N18" i="41"/>
  <c r="O18" i="41" s="1"/>
  <c r="P18" i="41" s="1"/>
  <c r="N18" i="84"/>
  <c r="M31" i="76"/>
  <c r="H217" i="7"/>
  <c r="DA217" i="7" s="1"/>
  <c r="N20" i="185"/>
  <c r="O20" i="185" s="1"/>
  <c r="P20" i="185" s="1"/>
  <c r="N19" i="222"/>
  <c r="O19" i="222" s="1"/>
  <c r="P19" i="222" s="1"/>
  <c r="N18" i="66"/>
  <c r="N20" i="222"/>
  <c r="O20" i="222" s="1"/>
  <c r="P20" i="222" s="1"/>
  <c r="N19" i="124" l="1"/>
  <c r="O19" i="124" s="1"/>
  <c r="P19" i="124" s="1"/>
  <c r="N23" i="124"/>
  <c r="O23" i="124" s="1"/>
  <c r="P23" i="124" s="1"/>
  <c r="M36" i="590"/>
  <c r="N36" i="590" s="1"/>
  <c r="M30" i="588"/>
  <c r="N21" i="124"/>
  <c r="O21" i="124" s="1"/>
  <c r="P21" i="124" s="1"/>
  <c r="N20" i="124"/>
  <c r="O20" i="124" s="1"/>
  <c r="P20" i="124" s="1"/>
  <c r="M35" i="589"/>
  <c r="N35" i="589" s="1"/>
  <c r="M34" i="204"/>
  <c r="N34" i="204" s="1"/>
  <c r="M39" i="617"/>
  <c r="N39" i="617" s="1"/>
  <c r="M40" i="619"/>
  <c r="N40" i="619" s="1"/>
  <c r="M37" i="621"/>
  <c r="N37" i="621" s="1"/>
  <c r="M37" i="618"/>
  <c r="N37" i="618" s="1"/>
  <c r="M34" i="603"/>
  <c r="N34" i="603" s="1"/>
  <c r="M34" i="598"/>
  <c r="N34" i="598" s="1"/>
  <c r="M36" i="370"/>
  <c r="N36" i="370" s="1"/>
  <c r="M30" i="338"/>
  <c r="N30" i="338" s="1"/>
  <c r="M38" i="594"/>
  <c r="M36" i="537"/>
  <c r="M30" i="494"/>
  <c r="M35" i="270"/>
  <c r="N35" i="270" s="1"/>
  <c r="M47" i="330"/>
  <c r="O18" i="232"/>
  <c r="P18" i="232" s="1"/>
  <c r="M29" i="232" s="1"/>
  <c r="N29" i="232" s="1"/>
  <c r="S18" i="232"/>
  <c r="R18" i="232"/>
  <c r="M37" i="581"/>
  <c r="M33" i="583"/>
  <c r="N33" i="583" s="1"/>
  <c r="M44" i="219"/>
  <c r="M29" i="236"/>
  <c r="N29" i="236" s="1"/>
  <c r="M31" i="573"/>
  <c r="M40" i="486"/>
  <c r="N40" i="486" s="1"/>
  <c r="M40" i="585"/>
  <c r="M35" i="366"/>
  <c r="M36" i="556"/>
  <c r="M40" i="441"/>
  <c r="M36" i="579"/>
  <c r="M41" i="49"/>
  <c r="M38" i="342"/>
  <c r="M41" i="52"/>
  <c r="N32" i="339"/>
  <c r="M35" i="399"/>
  <c r="N35" i="399" s="1"/>
  <c r="M31" i="401"/>
  <c r="N31" i="401" s="1"/>
  <c r="S18" i="409"/>
  <c r="O18" i="409"/>
  <c r="P18" i="409" s="1"/>
  <c r="M30" i="409" s="1"/>
  <c r="N30" i="409" s="1"/>
  <c r="R18" i="409"/>
  <c r="M42" i="44"/>
  <c r="O18" i="380"/>
  <c r="P18" i="380" s="1"/>
  <c r="M44" i="380" s="1"/>
  <c r="S18" i="380"/>
  <c r="R18" i="380"/>
  <c r="M32" i="102"/>
  <c r="S18" i="102"/>
  <c r="R18" i="102"/>
  <c r="M35" i="78"/>
  <c r="M27" i="222"/>
  <c r="N27" i="222" s="1"/>
  <c r="M42" i="96" l="1"/>
  <c r="M33" i="436"/>
  <c r="N33" i="436" s="1"/>
  <c r="N44" i="380"/>
  <c r="M29" i="124"/>
  <c r="N35" i="366"/>
  <c r="S37" i="94"/>
  <c r="N44" i="219"/>
  <c r="F11" i="219"/>
  <c r="L45" i="219" l="1"/>
  <c r="L46" i="219" s="1"/>
  <c r="L47" i="219" l="1"/>
  <c r="L48" i="219" s="1"/>
  <c r="I18" i="157" l="1"/>
  <c r="H18" i="157"/>
  <c r="D18" i="157"/>
  <c r="I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L18" i="216" l="1"/>
  <c r="O18" i="216"/>
  <c r="P18" i="216" s="1"/>
  <c r="F11" i="216"/>
  <c r="K18" i="50"/>
  <c r="H18" i="50"/>
  <c r="D18" i="50"/>
  <c r="L29" i="216" l="1"/>
  <c r="L30" i="216" s="1"/>
  <c r="L31" i="216" s="1"/>
  <c r="M29" i="216"/>
  <c r="L18" i="50"/>
  <c r="L31" i="50" s="1"/>
  <c r="M31" i="50" l="1"/>
  <c r="N31" i="50" s="1"/>
  <c r="N29" i="216"/>
  <c r="L32" i="216"/>
  <c r="L33" i="216" s="1"/>
  <c r="I18" i="215"/>
  <c r="H18" i="215"/>
  <c r="F11" i="215"/>
  <c r="L18" i="215" l="1"/>
  <c r="K18" i="97"/>
  <c r="O18" i="97" s="1"/>
  <c r="P18" i="97" s="1"/>
  <c r="M32" i="97" s="1"/>
  <c r="D18" i="97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354" i="7" l="1"/>
  <c r="BX23" i="7"/>
  <c r="BX433" i="7"/>
  <c r="BX259" i="7"/>
  <c r="BX11" i="7"/>
  <c r="BX252" i="7"/>
  <c r="BX271" i="7"/>
  <c r="BX22" i="7"/>
  <c r="BX88" i="7"/>
  <c r="BX152" i="7"/>
  <c r="BX136" i="7"/>
  <c r="BX389" i="7"/>
  <c r="BX253" i="7"/>
  <c r="BX478" i="7"/>
  <c r="K20" i="136" s="1"/>
  <c r="L20" i="136" s="1"/>
  <c r="BX383" i="7"/>
  <c r="BX13" i="7"/>
  <c r="BX476" i="7"/>
  <c r="BX185" i="7"/>
  <c r="K23" i="136" s="1"/>
  <c r="L23" i="136" s="1"/>
  <c r="BX460" i="7"/>
  <c r="BX227" i="7"/>
  <c r="K27" i="136" l="1"/>
  <c r="L27" i="136" s="1"/>
  <c r="K21" i="136"/>
  <c r="L21" i="136" s="1"/>
  <c r="K24" i="136"/>
  <c r="L24" i="136" s="1"/>
  <c r="K19" i="136"/>
  <c r="L19" i="136" s="1"/>
  <c r="K26" i="136"/>
  <c r="L26" i="136" s="1"/>
  <c r="K22" i="136"/>
  <c r="L22" i="136" s="1"/>
  <c r="K25" i="136"/>
  <c r="L25" i="136" s="1"/>
  <c r="K28" i="136"/>
  <c r="L28" i="136" s="1"/>
  <c r="K18" i="136"/>
  <c r="L20" i="215"/>
  <c r="L40" i="215" s="1"/>
  <c r="D18" i="75"/>
  <c r="K18" i="70"/>
  <c r="I18" i="70"/>
  <c r="H18" i="70"/>
  <c r="D18" i="70"/>
  <c r="L18" i="136" l="1"/>
  <c r="L36" i="136" s="1"/>
  <c r="O20" i="215"/>
  <c r="P20" i="215" s="1"/>
  <c r="L41" i="215"/>
  <c r="L42" i="215" s="1"/>
  <c r="L18" i="70"/>
  <c r="L33" i="70" s="1"/>
  <c r="O18" i="70"/>
  <c r="P18" i="70" s="1"/>
  <c r="M33" i="70" s="1"/>
  <c r="K20" i="179"/>
  <c r="L20" i="179" s="1"/>
  <c r="I20" i="179"/>
  <c r="H20" i="179"/>
  <c r="D20" i="179"/>
  <c r="M40" i="215" l="1"/>
  <c r="N40" i="215" s="1"/>
  <c r="L43" i="215"/>
  <c r="L44" i="215" s="1"/>
  <c r="K18" i="209"/>
  <c r="I18" i="209"/>
  <c r="H18" i="209"/>
  <c r="D18" i="209"/>
  <c r="F11" i="209"/>
  <c r="M30" i="81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5" i="204" l="1"/>
  <c r="L36" i="204" s="1"/>
  <c r="L37" i="204" l="1"/>
  <c r="L38" i="204" s="1"/>
  <c r="K19" i="179" l="1"/>
  <c r="L19" i="179" s="1"/>
  <c r="I19" i="179"/>
  <c r="H19" i="179"/>
  <c r="D19" i="179"/>
  <c r="K18" i="179"/>
  <c r="I18" i="179" l="1"/>
  <c r="H18" i="179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78"/>
  <c r="H18" i="78"/>
  <c r="I18" i="130"/>
  <c r="H18" i="130"/>
  <c r="I18" i="82" l="1"/>
  <c r="H18" i="82"/>
  <c r="I18" i="106"/>
  <c r="H18" i="106"/>
  <c r="I18" i="75"/>
  <c r="H18" i="75"/>
  <c r="I18" i="36"/>
  <c r="H18" i="36"/>
  <c r="I18" i="146"/>
  <c r="H18" i="146"/>
  <c r="I18" i="145" l="1"/>
  <c r="H18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19" i="46"/>
  <c r="H19" i="46"/>
  <c r="I18" i="46"/>
  <c r="H18" i="46"/>
  <c r="I18" i="187"/>
  <c r="H18" i="187"/>
  <c r="K19" i="46" l="1"/>
  <c r="D19" i="46"/>
  <c r="L19" i="46" l="1"/>
  <c r="O19" i="46"/>
  <c r="P19" i="46" s="1"/>
  <c r="BS287" i="7" l="1"/>
  <c r="BS353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1" i="46" s="1"/>
  <c r="K18" i="47"/>
  <c r="L18" i="47" s="1"/>
  <c r="D18" i="47"/>
  <c r="K18" i="121" l="1"/>
  <c r="O18" i="121" s="1"/>
  <c r="P18" i="121" s="1"/>
  <c r="M28" i="121" s="1"/>
  <c r="D18" i="42" l="1"/>
  <c r="H18" i="42"/>
  <c r="I18" i="42"/>
  <c r="K18" i="42"/>
  <c r="L18" i="42" l="1"/>
  <c r="L37" i="42" s="1"/>
  <c r="L38" i="42" l="1"/>
  <c r="L39" i="42" s="1"/>
  <c r="L40" i="42" s="1"/>
  <c r="D18" i="145" l="1"/>
  <c r="K19" i="159" l="1"/>
  <c r="L19" i="159" s="1"/>
  <c r="I19" i="159"/>
  <c r="H19" i="159"/>
  <c r="D19" i="159"/>
  <c r="C18" i="189" l="1"/>
  <c r="N18" i="92"/>
  <c r="D18" i="189" l="1"/>
  <c r="N18" i="189"/>
  <c r="I18" i="92"/>
  <c r="H18" i="92"/>
  <c r="D18" i="92"/>
  <c r="L18" i="92"/>
  <c r="H18" i="189"/>
  <c r="I18" i="189"/>
  <c r="K18" i="189"/>
  <c r="L18" i="189" s="1"/>
  <c r="L34" i="189" s="1"/>
  <c r="O18" i="189" l="1"/>
  <c r="P18" i="189" s="1"/>
  <c r="M34" i="189" s="1"/>
  <c r="O18" i="92"/>
  <c r="P18" i="92" s="1"/>
  <c r="M36" i="92" s="1"/>
  <c r="L35" i="189"/>
  <c r="L36" i="189" s="1"/>
  <c r="N34" i="189" l="1"/>
  <c r="L37" i="189"/>
  <c r="L38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31" i="113" l="1"/>
  <c r="L31" i="181" l="1"/>
  <c r="N31" i="181" s="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L34" i="176" s="1"/>
  <c r="D18" i="176"/>
  <c r="F11" i="176"/>
  <c r="L35" i="176" l="1"/>
  <c r="L36" i="176" s="1"/>
  <c r="L37" i="176" l="1"/>
  <c r="L38" i="176" s="1"/>
  <c r="D20" i="174" l="1"/>
  <c r="D19" i="174"/>
  <c r="D18" i="174"/>
  <c r="F11" i="174"/>
  <c r="L36" i="174" l="1"/>
  <c r="L37" i="174" l="1"/>
  <c r="L34" i="174"/>
  <c r="D19" i="74" l="1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8" i="145"/>
  <c r="P18" i="145" s="1"/>
  <c r="K18" i="56"/>
  <c r="K18" i="84"/>
  <c r="O18" i="84" s="1"/>
  <c r="P18" i="84" s="1"/>
  <c r="M35" i="84" s="1"/>
  <c r="M33" i="64"/>
  <c r="K18" i="86"/>
  <c r="O18" i="86" s="1"/>
  <c r="P18" i="86" s="1"/>
  <c r="K21" i="41" l="1"/>
  <c r="L21" i="41" s="1"/>
  <c r="K24" i="41"/>
  <c r="K18" i="387"/>
  <c r="Q36" i="41"/>
  <c r="K20" i="56"/>
  <c r="K19" i="56"/>
  <c r="L19" i="56" s="1"/>
  <c r="O21" i="41" l="1"/>
  <c r="P21" i="41" s="1"/>
  <c r="L24" i="41"/>
  <c r="O24" i="41"/>
  <c r="P24" i="41" s="1"/>
  <c r="L18" i="387"/>
  <c r="M39" i="94"/>
  <c r="L40" i="94"/>
  <c r="D23" i="56"/>
  <c r="M36" i="41" l="1"/>
  <c r="L35" i="387"/>
  <c r="M35" i="387" s="1"/>
  <c r="L18" i="97"/>
  <c r="L32" i="97" s="1"/>
  <c r="I18" i="150"/>
  <c r="H18" i="150"/>
  <c r="D18" i="150"/>
  <c r="F11" i="150"/>
  <c r="K18" i="150" l="1"/>
  <c r="L18" i="150" l="1"/>
  <c r="L34" i="150" s="1"/>
  <c r="O18" i="150"/>
  <c r="P18" i="150" s="1"/>
  <c r="M34" i="150" s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44" i="139" l="1"/>
  <c r="K21" i="139" l="1"/>
  <c r="L21" i="139" s="1"/>
  <c r="K25" i="139"/>
  <c r="I18" i="139"/>
  <c r="H18" i="139"/>
  <c r="D18" i="139"/>
  <c r="F11" i="139"/>
  <c r="L25" i="139" l="1"/>
  <c r="O25" i="139"/>
  <c r="P25" i="139" s="1"/>
  <c r="O21" i="139"/>
  <c r="P21" i="139" s="1"/>
  <c r="L18" i="139"/>
  <c r="O18" i="139"/>
  <c r="P18" i="139" s="1"/>
  <c r="L39" i="139" l="1"/>
  <c r="L40" i="139" s="1"/>
  <c r="L41" i="139" s="1"/>
  <c r="L42" i="139" s="1"/>
  <c r="L43" i="139" s="1"/>
  <c r="M39" i="139"/>
  <c r="N39" i="139" l="1"/>
  <c r="F11" i="136"/>
  <c r="O18" i="131" l="1"/>
  <c r="P18" i="131" s="1"/>
  <c r="M31" i="131" s="1"/>
  <c r="F11" i="131"/>
  <c r="L18" i="131" l="1"/>
  <c r="D18" i="131"/>
  <c r="L31" i="131" l="1"/>
  <c r="N31" i="131" s="1"/>
  <c r="K18" i="130"/>
  <c r="D18" i="130"/>
  <c r="F11" i="130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2" i="131"/>
  <c r="L33" i="131" s="1"/>
  <c r="L34" i="131" s="1"/>
  <c r="L35" i="131" s="1"/>
  <c r="L18" i="121" l="1"/>
  <c r="L28" i="121" s="1"/>
  <c r="N28" i="121" s="1"/>
  <c r="D18" i="121"/>
  <c r="F11" i="121"/>
  <c r="F11" i="120"/>
  <c r="L18" i="120" l="1"/>
  <c r="L34" i="120" s="1"/>
  <c r="O18" i="120"/>
  <c r="P18" i="120" s="1"/>
  <c r="M34" i="120" s="1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L31" i="121"/>
  <c r="L32" i="121" s="1"/>
  <c r="L35" i="120"/>
  <c r="L36" i="120" s="1"/>
  <c r="L37" i="120" s="1"/>
  <c r="L38" i="120" s="1"/>
  <c r="F11" i="117" l="1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L29" i="117"/>
  <c r="L30" i="117" s="1"/>
  <c r="L31" i="117" s="1"/>
  <c r="L32" i="117" s="1"/>
  <c r="L33" i="117" s="1"/>
  <c r="M29" i="117" l="1"/>
  <c r="N29" i="117" s="1"/>
  <c r="M29" i="116"/>
  <c r="N29" i="116" s="1"/>
  <c r="N41" i="52"/>
  <c r="F11" i="113"/>
  <c r="L42" i="52" l="1"/>
  <c r="L43" i="52" l="1"/>
  <c r="L44" i="52" s="1"/>
  <c r="L45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L18" i="106" l="1"/>
  <c r="L28" i="106" s="1"/>
  <c r="O18" i="106"/>
  <c r="P18" i="106" s="1"/>
  <c r="M28" i="106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L30" i="103"/>
  <c r="L31" i="103" s="1"/>
  <c r="L32" i="103" s="1"/>
  <c r="N32" i="102"/>
  <c r="F11" i="102"/>
  <c r="L33" i="102" l="1"/>
  <c r="L34" i="102" s="1"/>
  <c r="L35" i="102" s="1"/>
  <c r="L36" i="102" s="1"/>
  <c r="F11" i="97" l="1"/>
  <c r="F11" i="96"/>
  <c r="L33" i="97" l="1"/>
  <c r="L34" i="97" s="1"/>
  <c r="L35" i="97" s="1"/>
  <c r="L36" i="97" s="1"/>
  <c r="N32" i="97"/>
  <c r="N42" i="96"/>
  <c r="L44" i="96" l="1"/>
  <c r="L45" i="96" s="1"/>
  <c r="L46" i="96" s="1"/>
  <c r="F11" i="94" l="1"/>
  <c r="K18" i="65" l="1"/>
  <c r="L18" i="145"/>
  <c r="L32" i="145" s="1"/>
  <c r="L33" i="145" l="1"/>
  <c r="L34" i="145" s="1"/>
  <c r="L35" i="145" s="1"/>
  <c r="L36" i="145" s="1"/>
  <c r="M32" i="145"/>
  <c r="L18" i="65"/>
  <c r="O18" i="65"/>
  <c r="P18" i="65" s="1"/>
  <c r="M29" i="65" s="1"/>
  <c r="L41" i="94"/>
  <c r="L42" i="94" l="1"/>
  <c r="L43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27" i="86" s="1"/>
  <c r="M27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3" i="90"/>
  <c r="L34" i="90" s="1"/>
  <c r="L35" i="90" s="1"/>
  <c r="L36" i="90" s="1"/>
  <c r="L37" i="90" s="1"/>
  <c r="M33" i="90"/>
  <c r="L28" i="86"/>
  <c r="L29" i="86" s="1"/>
  <c r="L30" i="86" s="1"/>
  <c r="L31" i="86" s="1"/>
  <c r="N27" i="86"/>
  <c r="K18" i="82"/>
  <c r="L18" i="82" s="1"/>
  <c r="L30" i="82" s="1"/>
  <c r="L32" i="82" s="1"/>
  <c r="L33" i="82" s="1"/>
  <c r="L34" i="82" s="1"/>
  <c r="M30" i="82"/>
  <c r="D18" i="82"/>
  <c r="F11" i="82"/>
  <c r="N33" i="90" l="1"/>
  <c r="L18" i="78"/>
  <c r="D18" i="78"/>
  <c r="F11" i="78"/>
  <c r="F11" i="77"/>
  <c r="F11" i="76"/>
  <c r="K18" i="75"/>
  <c r="F11" i="75"/>
  <c r="L39" i="74"/>
  <c r="D18" i="74"/>
  <c r="F11" i="74"/>
  <c r="D20" i="73"/>
  <c r="D19" i="73"/>
  <c r="D18" i="73"/>
  <c r="F11" i="73"/>
  <c r="N194" i="7"/>
  <c r="N1" i="7"/>
  <c r="F11" i="72"/>
  <c r="K21" i="72" l="1"/>
  <c r="L21" i="72" s="1"/>
  <c r="K23" i="72"/>
  <c r="L23" i="72" s="1"/>
  <c r="K22" i="72"/>
  <c r="L22" i="72" s="1"/>
  <c r="K24" i="72"/>
  <c r="L24" i="72" s="1"/>
  <c r="L18" i="75"/>
  <c r="L37" i="75" s="1"/>
  <c r="M37" i="75"/>
  <c r="L40" i="74"/>
  <c r="L41" i="74" s="1"/>
  <c r="L42" i="74" s="1"/>
  <c r="L43" i="74" s="1"/>
  <c r="L38" i="73"/>
  <c r="L39" i="73" s="1"/>
  <c r="L40" i="73" s="1"/>
  <c r="L41" i="73" s="1"/>
  <c r="L42" i="73" s="1"/>
  <c r="L35" i="78"/>
  <c r="L38" i="75" l="1"/>
  <c r="L39" i="75" s="1"/>
  <c r="L40" i="75" s="1"/>
  <c r="L41" i="75" s="1"/>
  <c r="L32" i="76"/>
  <c r="L33" i="76" s="1"/>
  <c r="L34" i="76" s="1"/>
  <c r="L35" i="76" s="1"/>
  <c r="N31" i="76"/>
  <c r="L36" i="78"/>
  <c r="L37" i="78" s="1"/>
  <c r="L38" i="78" s="1"/>
  <c r="L39" i="78" s="1"/>
  <c r="N35" i="78"/>
  <c r="L43" i="72" l="1"/>
  <c r="L45" i="72" s="1"/>
  <c r="L46" i="72" s="1"/>
  <c r="L47" i="72" s="1"/>
  <c r="M43" i="72"/>
  <c r="L30" i="68"/>
  <c r="N30" i="68" s="1"/>
  <c r="F11" i="68"/>
  <c r="L34" i="70" l="1"/>
  <c r="L35" i="70" s="1"/>
  <c r="L36" i="70" s="1"/>
  <c r="L37" i="70" s="1"/>
  <c r="N33" i="70"/>
  <c r="L31" i="68"/>
  <c r="L32" i="68" s="1"/>
  <c r="L33" i="68" s="1"/>
  <c r="F11" i="67"/>
  <c r="L34" i="68" l="1"/>
  <c r="L33" i="67"/>
  <c r="M33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4" i="67"/>
  <c r="L35" i="67" s="1"/>
  <c r="L36" i="67" s="1"/>
  <c r="L37" i="67" s="1"/>
  <c r="N33" i="67"/>
  <c r="L30" i="65"/>
  <c r="L31" i="65" s="1"/>
  <c r="F11" i="64"/>
  <c r="N30" i="66" l="1"/>
  <c r="L33" i="64"/>
  <c r="L32" i="65"/>
  <c r="L33" i="65" s="1"/>
  <c r="L34" i="64" l="1"/>
  <c r="L35" i="64" s="1"/>
  <c r="L36" i="64" s="1"/>
  <c r="L37" i="64" s="1"/>
  <c r="N33" i="64"/>
  <c r="D19" i="56"/>
  <c r="F11" i="56"/>
  <c r="K18" i="53" l="1"/>
  <c r="D18" i="53"/>
  <c r="F11" i="53"/>
  <c r="L18" i="53" l="1"/>
  <c r="L30" i="53" s="1"/>
  <c r="L31" i="53" s="1"/>
  <c r="L32" i="53" s="1"/>
  <c r="L33" i="53" s="1"/>
  <c r="L34" i="53" s="1"/>
  <c r="M30" i="53"/>
  <c r="F11" i="50" l="1"/>
  <c r="F11" i="49"/>
  <c r="M39" i="47"/>
  <c r="L39" i="47"/>
  <c r="F11" i="47"/>
  <c r="F11" i="46"/>
  <c r="M39" i="45"/>
  <c r="K18" i="45"/>
  <c r="I18" i="45"/>
  <c r="H18" i="45"/>
  <c r="D18" i="45"/>
  <c r="F11" i="45"/>
  <c r="F11" i="44"/>
  <c r="L37" i="51" l="1"/>
  <c r="L18" i="45"/>
  <c r="L39" i="45" s="1"/>
  <c r="L40" i="45" s="1"/>
  <c r="L41" i="45" s="1"/>
  <c r="L42" i="45" s="1"/>
  <c r="L43" i="45" s="1"/>
  <c r="O18" i="45"/>
  <c r="P18" i="45" s="1"/>
  <c r="L40" i="47"/>
  <c r="L41" i="47" s="1"/>
  <c r="L42" i="47" s="1"/>
  <c r="L43" i="47" s="1"/>
  <c r="L32" i="50"/>
  <c r="L33" i="50" s="1"/>
  <c r="L31" i="46"/>
  <c r="F11" i="42"/>
  <c r="F11" i="41"/>
  <c r="L34" i="50" l="1"/>
  <c r="L35" i="50" s="1"/>
  <c r="M37" i="51"/>
  <c r="L43" i="44"/>
  <c r="L44" i="44" s="1"/>
  <c r="L45" i="44" s="1"/>
  <c r="L46" i="44" s="1"/>
  <c r="N42" i="44"/>
  <c r="L32" i="46"/>
  <c r="L33" i="46" s="1"/>
  <c r="L34" i="46" s="1"/>
  <c r="L35" i="46" s="1"/>
  <c r="N31" i="46"/>
  <c r="L42" i="49"/>
  <c r="L43" i="49" s="1"/>
  <c r="L44" i="49" s="1"/>
  <c r="L45" i="49" s="1"/>
  <c r="L36" i="41"/>
  <c r="L41" i="42" l="1"/>
  <c r="L37" i="41"/>
  <c r="L38" i="41" s="1"/>
  <c r="L39" i="41" s="1"/>
  <c r="L40" i="41" s="1"/>
  <c r="N36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394" i="7" l="1"/>
  <c r="L30" i="81" s="1"/>
  <c r="N30" i="81" s="1"/>
  <c r="L31" i="81" l="1"/>
  <c r="L32" i="81" s="1"/>
  <c r="L33" i="81" s="1"/>
  <c r="L34" i="81" s="1"/>
  <c r="K18" i="432" l="1"/>
  <c r="L36" i="387"/>
  <c r="L37" i="387" s="1"/>
  <c r="L38" i="387" s="1"/>
  <c r="L39" i="387" s="1"/>
  <c r="K18" i="388"/>
  <c r="K19" i="185"/>
  <c r="L19" i="185" s="1"/>
  <c r="K19" i="184"/>
  <c r="BX188" i="7"/>
  <c r="K18" i="184"/>
  <c r="K18" i="185"/>
  <c r="M36" i="136" l="1"/>
  <c r="L34" i="550"/>
  <c r="L35" i="550" s="1"/>
  <c r="L36" i="550" s="1"/>
  <c r="L37" i="550" s="1"/>
  <c r="L38" i="550" s="1"/>
  <c r="L30" i="549"/>
  <c r="L31" i="549" s="1"/>
  <c r="L32" i="549" s="1"/>
  <c r="L33" i="549" s="1"/>
  <c r="L34" i="549" s="1"/>
  <c r="M30" i="549"/>
  <c r="L18" i="432"/>
  <c r="O18" i="432"/>
  <c r="P18" i="432" s="1"/>
  <c r="L41" i="441"/>
  <c r="L42" i="441" s="1"/>
  <c r="L43" i="441" s="1"/>
  <c r="L44" i="441" s="1"/>
  <c r="L18" i="400"/>
  <c r="L33" i="400" s="1"/>
  <c r="L31" i="442"/>
  <c r="L32" i="442" s="1"/>
  <c r="L33" i="442" s="1"/>
  <c r="L34" i="442" s="1"/>
  <c r="L35" i="442" s="1"/>
  <c r="L31" i="77"/>
  <c r="L32" i="391"/>
  <c r="L33" i="391" s="1"/>
  <c r="L34" i="391" s="1"/>
  <c r="L35" i="391" s="1"/>
  <c r="L36" i="391" s="1"/>
  <c r="N35" i="387"/>
  <c r="L18" i="388"/>
  <c r="L26" i="388" s="1"/>
  <c r="L27" i="388" s="1"/>
  <c r="L28" i="388" s="1"/>
  <c r="L29" i="388" s="1"/>
  <c r="L30" i="388" s="1"/>
  <c r="O19" i="185"/>
  <c r="P19" i="185" s="1"/>
  <c r="L40" i="83"/>
  <c r="L38" i="51"/>
  <c r="L39" i="51" s="1"/>
  <c r="L40" i="51" s="1"/>
  <c r="L41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2" i="113"/>
  <c r="L33" i="113" s="1"/>
  <c r="L34" i="113" s="1"/>
  <c r="L35" i="113" s="1"/>
  <c r="N31" i="113"/>
  <c r="L33" i="56"/>
  <c r="L34" i="56" s="1"/>
  <c r="L35" i="56" s="1"/>
  <c r="L36" i="56" s="1"/>
  <c r="L37" i="56" s="1"/>
  <c r="M40" i="83" l="1"/>
  <c r="N40" i="83" s="1"/>
  <c r="N30" i="549"/>
  <c r="M34" i="550"/>
  <c r="L37" i="537"/>
  <c r="L38" i="537" s="1"/>
  <c r="L39" i="537" s="1"/>
  <c r="L40" i="537" s="1"/>
  <c r="L35" i="432"/>
  <c r="M35" i="432" s="1"/>
  <c r="M31" i="77"/>
  <c r="L34" i="400"/>
  <c r="L35" i="400" s="1"/>
  <c r="L36" i="400" s="1"/>
  <c r="L37" i="400" s="1"/>
  <c r="M31" i="442"/>
  <c r="M32" i="391"/>
  <c r="N32" i="391" s="1"/>
  <c r="M26" i="388"/>
  <c r="N26" i="388" s="1"/>
  <c r="L41" i="83"/>
  <c r="L42" i="83" s="1"/>
  <c r="L40" i="185"/>
  <c r="L41" i="185" s="1"/>
  <c r="L42" i="185" s="1"/>
  <c r="L43" i="185" s="1"/>
  <c r="M39" i="185"/>
  <c r="L32" i="184"/>
  <c r="L33" i="184" s="1"/>
  <c r="L34" i="184" s="1"/>
  <c r="L35" i="184" s="1"/>
  <c r="L36" i="184" s="1"/>
  <c r="N36" i="537" l="1"/>
  <c r="L43" i="83"/>
  <c r="L44" i="83" s="1"/>
  <c r="L36" i="432"/>
  <c r="L37" i="432" s="1"/>
  <c r="L32" i="77"/>
  <c r="L33" i="77" s="1"/>
  <c r="L34" i="77" s="1"/>
  <c r="L35" i="77" s="1"/>
  <c r="M32" i="184"/>
  <c r="N32" i="184" s="1"/>
  <c r="L37" i="136"/>
  <c r="L38" i="136" s="1"/>
  <c r="L39" i="136" s="1"/>
  <c r="L40" i="136" s="1"/>
  <c r="L38" i="432" l="1"/>
  <c r="L39" i="432" s="1"/>
  <c r="M34" i="329" l="1"/>
  <c r="N34" i="329" l="1"/>
  <c r="N47" i="330" l="1"/>
  <c r="O18" i="332" l="1"/>
  <c r="P18" i="332" s="1"/>
  <c r="M30" i="332" s="1"/>
  <c r="N30" i="332" s="1"/>
  <c r="L35" i="150" l="1"/>
  <c r="L36" i="150" s="1"/>
  <c r="L37" i="150" l="1"/>
  <c r="L38" i="150" s="1"/>
  <c r="L30" i="124" l="1"/>
  <c r="L31" i="124" s="1"/>
  <c r="N29" i="124"/>
  <c r="L32" i="124" l="1"/>
  <c r="L33" i="1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J4" authorId="0" shapeId="0" xr:uid="{C1B9E039-9AEC-4687-996A-C7801F017640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CO4" authorId="0" shapeId="0" xr:uid="{791E631B-72C5-469D-91F8-05649CAA11F6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J7" authorId="0" shapeId="0" xr:uid="{7D9A4C91-8DA6-47C9-BC98-1965E500761F}">
      <text>
        <r>
          <rPr>
            <b/>
            <sz val="9"/>
            <color indexed="81"/>
            <rFont val="Tahoma"/>
            <family val="2"/>
          </rPr>
          <t>$37 on 1 june</t>
        </r>
      </text>
    </comment>
    <comment ref="S32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CS36" authorId="0" shapeId="0" xr:uid="{5F1DBEE7-80B2-4BF3-8B57-D502C5E2040D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107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107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107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J136" authorId="0" shapeId="0" xr:uid="{4DB70125-B53B-4E92-AAD4-EC1867F909C8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R136" authorId="0" shapeId="0" xr:uid="{F0C2DE25-88A4-43F2-9ED7-7C96436681EA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N148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48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48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J149" authorId="0" shapeId="0" xr:uid="{7A439153-A305-4648-9EEB-ACB2AA9D7D57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CO149" authorId="0" shapeId="0" xr:uid="{9818F0E8-7DAA-4612-BABD-4035B1CB2774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J152" authorId="0" shapeId="0" xr:uid="{E37D33B1-EFC4-4D75-962F-1661A2C74738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CN152" authorId="0" shapeId="0" xr:uid="{87564D16-9078-4E85-B503-102125BBD166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L158" authorId="0" shapeId="0" xr:uid="{2A208CD2-67BF-463D-A232-6DF05B482AE9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22 to 24 effective 15/12/2021</t>
        </r>
      </text>
    </comment>
    <comment ref="L160" authorId="0" shapeId="0" xr:uid="{AC66A86D-234D-4817-A417-77308B2F8062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L161" authorId="0" shapeId="0" xr:uid="{5A688F4F-F38F-48FD-AF1A-464BF6AFE7F6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J185" authorId="0" shapeId="0" xr:uid="{A6BEB5AF-62B7-406D-B1CD-2BAE75C956D7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J186" authorId="0" shapeId="0" xr:uid="{DB2CD881-92D6-4FA4-945F-C52A9BA281B9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H193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196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220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31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74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74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74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74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74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74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74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J341" authorId="0" shapeId="0" xr:uid="{A9B2611E-887B-45F3-A6E3-CFCD200818AE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O341" authorId="0" shapeId="0" xr:uid="{AB14EE4B-2EB9-487F-BF52-670AE2A4311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342" authorId="0" shapeId="0" xr:uid="{455B2910-B7C7-45D3-BF87-3F5E987791F9}">
      <text>
        <r>
          <rPr>
            <b/>
            <sz val="9"/>
            <color indexed="81"/>
            <rFont val="Tahoma"/>
            <family val="2"/>
          </rPr>
          <t>$18
subsitute with 4061A golden boy</t>
        </r>
      </text>
    </comment>
    <comment ref="BX354" authorId="1" shapeId="0" xr:uid="{F2E34449-E988-42B6-BC05-3A6AF925DAA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AA355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357" authorId="0" shapeId="0" xr:uid="{84A2FE76-016D-44FF-A439-9F8E024A9BED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58" authorId="0" shapeId="0" xr:uid="{F8B6C6E9-7200-4AC0-BD7B-31D059CA9BFF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60" authorId="0" shapeId="0" xr:uid="{BED0C3B8-CF1F-4304-9E0E-6308CC3A7463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61" authorId="0" shapeId="0" xr:uid="{F1399F3F-B1C4-4116-83C9-17B653C4F8C2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64" authorId="0" shapeId="0" xr:uid="{F77DA573-DB0E-4765-B09D-1D009DBCD56A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I365" authorId="0" shapeId="0" xr:uid="{E66221F2-688B-431F-8941-629D50E615A1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U393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I418" authorId="0" shapeId="0" xr:uid="{CEBE1C01-02CA-44B6-8583-CE7D710925A2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I420" authorId="0" shapeId="0" xr:uid="{C57619A3-B3B3-4FFC-88CA-2D49352623AC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J426" authorId="0" shapeId="0" xr:uid="{43F967DF-F744-465D-B9E5-5EF2C5FA3247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T426" authorId="0" shapeId="0" xr:uid="{57842540-9032-43B4-B0AB-593359580A7C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R426" authorId="0" shapeId="0" xr:uid="{D75A2062-7E62-4BC7-BEED-A8C27027C59B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T426" authorId="0" shapeId="0" xr:uid="{852483F5-DDDF-47E0-8FE8-D15273E4E7B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U426" authorId="0" shapeId="0" xr:uid="{6903C313-CC3C-4399-AE7B-77CA859B327F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V426" authorId="0" shapeId="0" xr:uid="{63DCA24D-854A-425E-862D-C375517F6A15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426" authorId="0" shapeId="0" xr:uid="{271878F5-2B9C-48E1-A5D2-4E495759443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427" authorId="0" shapeId="0" xr:uid="{E01CC70C-87C2-4F5D-B035-6DA95A099120}">
      <text>
        <r>
          <rPr>
            <b/>
            <sz val="9"/>
            <color indexed="81"/>
            <rFont val="Tahoma"/>
            <family val="2"/>
          </rPr>
          <t>$18 in 1 June</t>
        </r>
      </text>
    </comment>
    <comment ref="Q431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I449" authorId="0" shapeId="0" xr:uid="{0F9567B0-CE3B-4A41-B519-76F3AF236292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I450" authorId="0" shapeId="0" xr:uid="{9B4F58C8-22F4-421F-8B08-852DC51D6D93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V451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455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  <comment ref="I465" authorId="0" shapeId="0" xr:uid="{CD5B06D1-35E3-4DF3-8851-1F390AFA0C3C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  <comment ref="I466" authorId="0" shapeId="0" xr:uid="{F3241650-EFA6-4B73-B592-D1CA64254797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</commentList>
</comments>
</file>

<file path=xl/sharedStrings.xml><?xml version="1.0" encoding="utf-8"?>
<sst xmlns="http://schemas.openxmlformats.org/spreadsheetml/2006/main" count="14829" uniqueCount="2318">
  <si>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</si>
  <si>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</si>
  <si>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</si>
  <si>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</si>
  <si>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</si>
  <si>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</si>
  <si>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</si>
  <si>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</si>
  <si>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</si>
  <si>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</si>
  <si>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</si>
  <si>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</si>
  <si>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</si>
  <si>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</si>
  <si>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</si>
  <si>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</si>
  <si>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</si>
  <si>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</si>
  <si>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</si>
  <si>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</si>
  <si>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</si>
  <si>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</si>
  <si>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</si>
  <si>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</si>
  <si>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</si>
  <si>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</si>
  <si>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</si>
  <si>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</si>
  <si>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</si>
  <si>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</si>
  <si>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</si>
  <si>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</si>
  <si>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</si>
  <si>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</si>
  <si>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</si>
  <si>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</si>
  <si>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</si>
  <si>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</si>
  <si>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</si>
  <si>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Bag</t>
  </si>
  <si>
    <t>Bottle</t>
  </si>
  <si>
    <t>Chefs</t>
  </si>
  <si>
    <t>Can</t>
  </si>
  <si>
    <t>Statue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</si>
  <si>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</si>
  <si>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</si>
  <si>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</si>
  <si>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</si>
  <si>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</si>
  <si>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</si>
  <si>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</si>
  <si>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</si>
  <si>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</si>
  <si>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</si>
  <si>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</si>
  <si>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INGCOD1021</t>
  </si>
  <si>
    <t>10kgs/ctn</t>
  </si>
  <si>
    <t>INGCOD1052</t>
  </si>
  <si>
    <t>3KGS/PKT</t>
  </si>
  <si>
    <t>5KGS/PKT</t>
  </si>
  <si>
    <t>INGCOD1027</t>
  </si>
  <si>
    <t>INGCOD1029</t>
  </si>
  <si>
    <t>3 KGS/PKT</t>
  </si>
  <si>
    <t>INGCOD1038</t>
  </si>
  <si>
    <t>10PKT/BAG</t>
  </si>
  <si>
    <t>INGCOD1048</t>
  </si>
  <si>
    <t>1 KG</t>
  </si>
  <si>
    <t>INGCOD1051</t>
  </si>
  <si>
    <t>INGCOD1060</t>
  </si>
  <si>
    <t>INGCOD1061</t>
  </si>
  <si>
    <t>INGCOD1016</t>
  </si>
  <si>
    <t>INGCOD1033</t>
  </si>
  <si>
    <t>INGCOD1037</t>
  </si>
  <si>
    <t>INGCOD1041</t>
  </si>
  <si>
    <t>INGCOD1042</t>
  </si>
  <si>
    <t>Delivery Location</t>
  </si>
  <si>
    <t>ID</t>
  </si>
  <si>
    <t>ID#02</t>
  </si>
  <si>
    <t>ID#03</t>
  </si>
  <si>
    <t>ID#04</t>
  </si>
  <si>
    <t>INGCOD1020</t>
  </si>
  <si>
    <t>INGCOD1050</t>
  </si>
  <si>
    <t>INGCOD1059</t>
  </si>
  <si>
    <t>INGCOD1064</t>
  </si>
  <si>
    <t>ID#05</t>
  </si>
  <si>
    <t>1 Can X A10</t>
  </si>
  <si>
    <t>INGCOD1066</t>
  </si>
  <si>
    <t>BL BRAND</t>
  </si>
  <si>
    <t>INGCOOK239</t>
  </si>
  <si>
    <t>ID#06</t>
  </si>
  <si>
    <t>ID#07</t>
  </si>
  <si>
    <t>Tin</t>
  </si>
  <si>
    <t>500 gms</t>
  </si>
  <si>
    <t>5 kg</t>
  </si>
  <si>
    <t>DO022</t>
  </si>
  <si>
    <t>INGCOD1031</t>
  </si>
  <si>
    <t>Pce</t>
  </si>
  <si>
    <t>INGCOD1024</t>
  </si>
  <si>
    <t>INGCOD1039</t>
  </si>
  <si>
    <t>INGCOD1040</t>
  </si>
  <si>
    <t>INGCOD1049</t>
  </si>
  <si>
    <t>INGCOD1023</t>
  </si>
  <si>
    <t>INGCOD1017</t>
  </si>
  <si>
    <t>INGCOD1034</t>
  </si>
  <si>
    <t>INGCOD1151</t>
  </si>
  <si>
    <t>INGCOOK240</t>
  </si>
  <si>
    <t>INGCOD1045</t>
  </si>
  <si>
    <t>INGCOD1004</t>
  </si>
  <si>
    <t>INGCOD1032</t>
  </si>
  <si>
    <t>BTL</t>
  </si>
  <si>
    <t>INGCOD1065</t>
  </si>
  <si>
    <t>1 Btl</t>
  </si>
  <si>
    <t>25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</si>
  <si>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</si>
  <si>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</si>
  <si>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</si>
  <si>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</si>
  <si>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</si>
  <si>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</si>
  <si>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</si>
  <si>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</si>
  <si>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</si>
  <si>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</si>
  <si>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</si>
  <si>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</si>
  <si>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</si>
  <si>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</si>
  <si>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</si>
  <si>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</si>
  <si>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</si>
  <si>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</si>
  <si>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</si>
  <si>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</si>
  <si>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</si>
  <si>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</si>
  <si>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</si>
  <si>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</si>
  <si>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</si>
  <si>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</si>
  <si>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</si>
  <si>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</si>
  <si>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</si>
  <si>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</si>
  <si>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</si>
  <si>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</si>
  <si>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</si>
  <si>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</si>
  <si>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</si>
  <si>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</si>
  <si>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</si>
  <si>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</si>
  <si>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</si>
  <si>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</si>
  <si>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</si>
  <si>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</si>
  <si>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</si>
  <si>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</si>
  <si>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</si>
  <si>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</si>
  <si>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</si>
  <si>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</si>
  <si>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</si>
  <si>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</si>
  <si>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</si>
  <si>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</si>
  <si>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</si>
  <si>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</si>
  <si>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</si>
  <si>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</si>
  <si>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</si>
  <si>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</si>
  <si>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</si>
  <si>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</si>
  <si>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</si>
  <si>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</si>
  <si>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</si>
  <si>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</si>
  <si>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</si>
  <si>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</si>
  <si>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</si>
  <si>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</si>
  <si>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</si>
  <si>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</si>
  <si>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</si>
  <si>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</si>
  <si>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</si>
  <si>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</si>
  <si>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</si>
  <si>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</si>
  <si>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</si>
  <si>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</si>
  <si>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</si>
  <si>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</si>
  <si>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</si>
  <si>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</si>
  <si>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</si>
  <si>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</si>
  <si>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</si>
  <si>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</si>
  <si>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</si>
  <si>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</si>
  <si>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</si>
  <si>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</si>
  <si>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</si>
  <si>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</si>
  <si>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</si>
  <si>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</si>
  <si>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</si>
  <si>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</si>
  <si>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</si>
  <si>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</si>
  <si>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</si>
  <si>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</si>
  <si>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>JNS 111 Food                                               River Vally Point #01-11 Singapore 248371.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</si>
  <si>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</si>
  <si>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</si>
  <si>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</si>
  <si>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</si>
  <si>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</si>
  <si>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</si>
  <si>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</si>
  <si>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</si>
  <si>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</si>
  <si>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</si>
  <si>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</si>
  <si>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</si>
  <si>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Drum</t>
  </si>
  <si>
    <t xml:space="preserve">Fresh Soursop 红毛榴莲 </t>
  </si>
  <si>
    <t>Q Ball Q圆</t>
  </si>
  <si>
    <t>Honey Pearl - Black 蜜糖珍珠</t>
  </si>
  <si>
    <t>Tapioca木薯</t>
  </si>
  <si>
    <t>Rock Suger冰糖</t>
  </si>
  <si>
    <t>Bobo Cha Cubes.摩摩喳喳</t>
  </si>
  <si>
    <t>Chin Chow  仙 草</t>
  </si>
  <si>
    <t>Jelly Powder 文头雪粉</t>
  </si>
  <si>
    <t>Agar Powder菜燕粉</t>
  </si>
  <si>
    <t>Sea Coconut海底椰</t>
  </si>
  <si>
    <t>Lychee in Syrup荔枝</t>
  </si>
  <si>
    <t>Peach 桃畔</t>
  </si>
  <si>
    <t>Sweeten Melon Strip冬瓜条</t>
  </si>
  <si>
    <t>Coconut Sugar椰糖</t>
  </si>
  <si>
    <t>Sweet Potato Powder番薯粉</t>
  </si>
  <si>
    <t>Tapioca Flour 茨粉</t>
  </si>
  <si>
    <t>Selaseh (Basil Seed) 青蛙蛋</t>
  </si>
  <si>
    <t>Green Bean 绿豆</t>
  </si>
  <si>
    <t>Split Green Mung Bean豆畔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</si>
  <si>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</si>
  <si>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</si>
  <si>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</si>
  <si>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</si>
  <si>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</si>
  <si>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</si>
  <si>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</si>
  <si>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</si>
  <si>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</si>
  <si>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</si>
  <si>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</si>
  <si>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</si>
  <si>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</si>
  <si>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</si>
  <si>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</si>
  <si>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</si>
  <si>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</si>
  <si>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</si>
  <si>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</si>
  <si>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</si>
  <si>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</si>
  <si>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</si>
  <si>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</si>
  <si>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</si>
  <si>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</si>
  <si>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</si>
  <si>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</si>
  <si>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</si>
  <si>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</si>
  <si>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</si>
  <si>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</si>
  <si>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</si>
  <si>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</si>
  <si>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</si>
  <si>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</si>
  <si>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</si>
  <si>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</si>
  <si>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</si>
  <si>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</si>
  <si>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</si>
  <si>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</si>
  <si>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</si>
  <si>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</si>
  <si>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</si>
  <si>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</si>
  <si>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</si>
  <si>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</si>
  <si>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</si>
  <si>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</si>
  <si>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</si>
  <si>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</si>
  <si>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</si>
  <si>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</si>
  <si>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</si>
  <si>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</si>
  <si>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</si>
  <si>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</si>
  <si>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</si>
  <si>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</si>
  <si>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</si>
  <si>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</si>
  <si>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</si>
  <si>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</si>
  <si>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</si>
  <si>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</si>
  <si>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</si>
  <si>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</si>
  <si>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</si>
  <si>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</si>
  <si>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</si>
  <si>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R009</t>
  </si>
  <si>
    <t>R012</t>
  </si>
  <si>
    <t>R015</t>
  </si>
  <si>
    <t>R017</t>
  </si>
  <si>
    <t>R020</t>
  </si>
  <si>
    <t>GingKo Nut白果罐</t>
  </si>
  <si>
    <t>GingKo Nut白果粒</t>
  </si>
  <si>
    <t>Royal M</t>
  </si>
  <si>
    <t>R039</t>
  </si>
  <si>
    <t>Orange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</si>
  <si>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</si>
  <si>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</si>
  <si>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</si>
  <si>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</si>
  <si>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</si>
  <si>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</si>
  <si>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</si>
  <si>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</si>
  <si>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2kgs</t>
  </si>
  <si>
    <t>Koufu Pte Ltd</t>
  </si>
  <si>
    <t>No 18, Woodlands Terrace</t>
  </si>
  <si>
    <t>Singapore 738443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</si>
  <si>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</si>
  <si>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</si>
  <si>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</si>
  <si>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</si>
  <si>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</si>
  <si>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</si>
  <si>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</si>
  <si>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</si>
  <si>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</si>
  <si>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</si>
  <si>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</si>
  <si>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</si>
  <si>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</si>
  <si>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</si>
  <si>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</si>
  <si>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</si>
  <si>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</si>
  <si>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</si>
  <si>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</si>
  <si>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</si>
  <si>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</si>
  <si>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</si>
  <si>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</si>
  <si>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</si>
  <si>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</si>
  <si>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</si>
  <si>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</si>
  <si>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</si>
  <si>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</si>
  <si>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</si>
  <si>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</si>
  <si>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</si>
  <si>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</si>
  <si>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</si>
  <si>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</si>
  <si>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</si>
  <si>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</si>
  <si>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</si>
  <si>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</si>
  <si>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</si>
  <si>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</si>
  <si>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</si>
  <si>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</si>
  <si>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</si>
  <si>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</si>
  <si>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</si>
  <si>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</si>
  <si>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</si>
  <si>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</si>
  <si>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</si>
  <si>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</si>
  <si>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2552 Strawberry</t>
  </si>
  <si>
    <t>Honeydew</t>
  </si>
  <si>
    <t>Pandan (FKJ)</t>
  </si>
  <si>
    <t>Banana 23</t>
  </si>
  <si>
    <t>Peach</t>
  </si>
  <si>
    <t>567gm x 24 can</t>
  </si>
  <si>
    <t>Mango Pudding Power 芒果布丁</t>
  </si>
  <si>
    <t>30gm/pkt x 10PKT</t>
  </si>
  <si>
    <t>Kidney Bean 大红豆 (美国）</t>
  </si>
  <si>
    <t>Star</t>
  </si>
  <si>
    <t>M021</t>
  </si>
  <si>
    <t>Water Chestnut 马蹄 - Can</t>
  </si>
  <si>
    <t>3A</t>
  </si>
  <si>
    <t>Netual Cloudifier 白色精</t>
  </si>
  <si>
    <t>INGCOD1057</t>
  </si>
  <si>
    <t>INGCOD1141</t>
  </si>
  <si>
    <t>Quantity</t>
  </si>
  <si>
    <t>Packing Mehtod</t>
  </si>
  <si>
    <t>Branch</t>
  </si>
  <si>
    <t>Wolfberry 枸杞子</t>
  </si>
  <si>
    <t>FLS</t>
  </si>
  <si>
    <t>M027</t>
  </si>
  <si>
    <t>ID#87</t>
  </si>
  <si>
    <t>P095</t>
  </si>
  <si>
    <t>中</t>
  </si>
  <si>
    <t>Block 26, Chai Chee Road</t>
  </si>
  <si>
    <t>Balestier Market Pte Ltd</t>
  </si>
  <si>
    <t>Simei</t>
  </si>
  <si>
    <t>黄</t>
  </si>
  <si>
    <t xml:space="preserve">G </t>
  </si>
  <si>
    <t>ID#88</t>
  </si>
  <si>
    <t>ID#89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</si>
  <si>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</si>
  <si>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</si>
  <si>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</si>
  <si>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</si>
  <si>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</si>
  <si>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</si>
  <si>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</si>
  <si>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</si>
  <si>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</si>
  <si>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</si>
  <si>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</si>
  <si>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</si>
  <si>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</si>
  <si>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</si>
  <si>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</si>
  <si>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</si>
  <si>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</si>
  <si>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</si>
  <si>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</si>
  <si>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</si>
  <si>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</si>
  <si>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</si>
  <si>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</si>
  <si>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</si>
  <si>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</si>
  <si>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</si>
  <si>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</si>
  <si>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</si>
  <si>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(425gm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</si>
  <si>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</si>
  <si>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</si>
  <si>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</si>
  <si>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</si>
  <si>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</si>
  <si>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</si>
  <si>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</si>
  <si>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</si>
  <si>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</si>
  <si>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</si>
  <si>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</si>
  <si>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</si>
  <si>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</si>
  <si>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</si>
  <si>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</si>
  <si>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</si>
  <si>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INGCOOK241</t>
  </si>
  <si>
    <t>ID#95</t>
  </si>
  <si>
    <t>ID#96</t>
  </si>
  <si>
    <t>12.5KG/PKT X 2</t>
  </si>
  <si>
    <t>45gm x 10PKT/Bag</t>
  </si>
  <si>
    <t>ID#97</t>
  </si>
  <si>
    <t>CASH</t>
  </si>
  <si>
    <t xml:space="preserve"> #01-57</t>
  </si>
  <si>
    <t>ID#99</t>
  </si>
  <si>
    <t>ID#100</t>
  </si>
  <si>
    <t>Sin Yi Peng        #04-33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</si>
  <si>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</si>
  <si>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</si>
  <si>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</si>
  <si>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</si>
  <si>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INGCOD1054</t>
  </si>
  <si>
    <t>P018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</si>
  <si>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</si>
  <si>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</si>
  <si>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</si>
  <si>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</si>
  <si>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</si>
  <si>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</si>
  <si>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</si>
  <si>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</si>
  <si>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</si>
  <si>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</si>
  <si>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</si>
  <si>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</si>
  <si>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</si>
  <si>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</si>
  <si>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</si>
  <si>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</si>
  <si>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</si>
  <si>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</si>
  <si>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</si>
  <si>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</si>
  <si>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</si>
  <si>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</si>
  <si>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</si>
  <si>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</si>
  <si>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</si>
  <si>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</si>
  <si>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</si>
  <si>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</si>
  <si>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</si>
  <si>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</si>
  <si>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 xml:space="preserve">Koufu - (Dessert)                                         6, Raffles Boulevard #04-101/102 Marina Square Singapore 039594              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</si>
  <si>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</si>
  <si>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</si>
  <si>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</si>
  <si>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</si>
  <si>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</si>
  <si>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</si>
  <si>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</si>
  <si>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</si>
  <si>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</si>
  <si>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</si>
  <si>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</si>
  <si>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</si>
  <si>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</si>
  <si>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</si>
  <si>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</si>
  <si>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</si>
  <si>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</si>
  <si>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４缶／箱</t>
  </si>
  <si>
    <t>ID#110</t>
  </si>
  <si>
    <t>Golden Champ</t>
  </si>
  <si>
    <t>Country  Of Origin</t>
  </si>
  <si>
    <t>Singapore</t>
  </si>
  <si>
    <t>ID#111</t>
  </si>
  <si>
    <t>ID#112</t>
  </si>
  <si>
    <t>ID#113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</si>
  <si>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</si>
  <si>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</si>
  <si>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</si>
  <si>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</si>
  <si>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</si>
  <si>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BAG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</si>
  <si>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</si>
  <si>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</si>
  <si>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</si>
  <si>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</si>
  <si>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</si>
  <si>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</si>
  <si>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Fungus黄 木耳朵</t>
  </si>
  <si>
    <t>500 GM/BAG</t>
  </si>
  <si>
    <t>5 KGS</t>
  </si>
  <si>
    <t>ID#115</t>
  </si>
  <si>
    <t>King &amp; King</t>
  </si>
  <si>
    <t>48 can/Box</t>
  </si>
  <si>
    <t>id#116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</si>
  <si>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</si>
  <si>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</si>
  <si>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</si>
  <si>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</si>
  <si>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</si>
  <si>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</si>
  <si>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</si>
  <si>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</si>
  <si>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</si>
  <si>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</si>
  <si>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</si>
  <si>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</si>
  <si>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</si>
  <si>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</si>
  <si>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</si>
  <si>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</si>
  <si>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ID#123</t>
  </si>
  <si>
    <t>Ivy Lim 50A</t>
  </si>
  <si>
    <t>25 kgs</t>
  </si>
  <si>
    <t>ID#124</t>
  </si>
  <si>
    <t>Fine Food (Nanyang) Pte Ltd</t>
  </si>
  <si>
    <t>3 KGS</t>
  </si>
  <si>
    <t>ID#125</t>
  </si>
  <si>
    <t>HENG HENG FOOD SUPPLY</t>
  </si>
  <si>
    <t>200/ctn</t>
  </si>
  <si>
    <t>DO</t>
  </si>
  <si>
    <t>Earphone</t>
  </si>
  <si>
    <t>Chargetable lighter</t>
  </si>
  <si>
    <t>500/ctn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</si>
  <si>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</si>
  <si>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</si>
  <si>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</si>
  <si>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</si>
  <si>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</si>
  <si>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</si>
  <si>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</si>
  <si>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</si>
  <si>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</si>
  <si>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</si>
  <si>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</si>
  <si>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</si>
  <si>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</si>
  <si>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</si>
  <si>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</si>
  <si>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</si>
  <si>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</si>
  <si>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</si>
  <si>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</si>
  <si>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</si>
  <si>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</si>
  <si>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</si>
  <si>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</si>
  <si>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</si>
  <si>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</si>
  <si>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</si>
  <si>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</si>
  <si>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</si>
  <si>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</si>
  <si>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</si>
  <si>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</si>
  <si>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</si>
  <si>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</si>
  <si>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777 Jurong Gateway                                 50 Jurong Gatway Road.            #05-02 Singapore                           (Dessert Counter)</t>
  </si>
  <si>
    <t>ID#137</t>
  </si>
  <si>
    <t>500 GM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</si>
  <si>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</si>
  <si>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</si>
  <si>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</si>
  <si>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</si>
  <si>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</si>
  <si>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</si>
  <si>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</si>
  <si>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THREE EAGLE</t>
  </si>
  <si>
    <t>1KG X 10</t>
  </si>
  <si>
    <t>60 days</t>
  </si>
  <si>
    <t>生记</t>
  </si>
  <si>
    <t>2.5 kgs</t>
  </si>
  <si>
    <t>4 KGS</t>
  </si>
  <si>
    <t>5 KG</t>
  </si>
  <si>
    <t>3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</si>
  <si>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</si>
  <si>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</si>
  <si>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</si>
  <si>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</si>
  <si>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</si>
  <si>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</si>
  <si>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</si>
  <si>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</si>
  <si>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</si>
  <si>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</si>
  <si>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</si>
  <si>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</si>
  <si>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</si>
  <si>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</si>
  <si>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</si>
  <si>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</si>
  <si>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</si>
  <si>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</si>
  <si>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</si>
  <si>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</si>
  <si>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</si>
  <si>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</si>
  <si>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</si>
  <si>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</si>
  <si>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</si>
  <si>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</si>
  <si>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Dried Orange Peel 陈皮</t>
  </si>
  <si>
    <t>1983 - A TASTE OF NANYANG                         9, WOODLANDS AVENUE 9.                       SOUTH FOOD COURT LEVER 2                SINGAPORE 738964</t>
  </si>
  <si>
    <t>24-08-2020</t>
  </si>
  <si>
    <t>P056-9</t>
  </si>
  <si>
    <t>9 MM</t>
  </si>
  <si>
    <t>ID#142</t>
  </si>
  <si>
    <t>ID#143</t>
  </si>
  <si>
    <t>COD</t>
  </si>
  <si>
    <t>STANDARD PACK</t>
  </si>
  <si>
    <t>BRAND</t>
  </si>
  <si>
    <t>YAM PASTE</t>
  </si>
  <si>
    <t>#01-173   KYS</t>
  </si>
  <si>
    <t>ID#144</t>
  </si>
  <si>
    <t xml:space="preserve">Zhu Fang Ruo                                                11 Canberra Road #01-05. Singapore 759775.              </t>
  </si>
  <si>
    <t>INGSUGR017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</si>
  <si>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</si>
  <si>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</si>
  <si>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</si>
  <si>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</si>
  <si>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</si>
  <si>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</si>
  <si>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</si>
  <si>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</si>
  <si>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KOPITIAM INVESTMENT PTE LTD</t>
  </si>
  <si>
    <t>ID#145</t>
  </si>
  <si>
    <t>CAFE 107</t>
  </si>
  <si>
    <t>PAYNOW: UEN201914330C</t>
  </si>
  <si>
    <t>ID#146</t>
  </si>
  <si>
    <t>Dessert Station                                        52 Hougang St 11.                         CENTRAL VIEW TOWER 2               #13-07. Singapore 538750</t>
  </si>
  <si>
    <t>SUN KEE</t>
  </si>
  <si>
    <t>ALMOND FAVOUR</t>
  </si>
  <si>
    <t>ID#147</t>
  </si>
  <si>
    <t>ID#148</t>
  </si>
  <si>
    <t>ID#149</t>
  </si>
  <si>
    <t>Circle in the box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</si>
  <si>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</si>
  <si>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</si>
  <si>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</si>
  <si>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</si>
  <si>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</si>
  <si>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</si>
  <si>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</si>
  <si>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</si>
  <si>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</si>
  <si>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</si>
  <si>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</si>
  <si>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Threeflower</t>
  </si>
  <si>
    <t>PAYNOW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</si>
  <si>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</si>
  <si>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</si>
  <si>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</si>
  <si>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</si>
  <si>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</si>
  <si>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ID#151</t>
  </si>
  <si>
    <t>YAMMIE  (MRT)</t>
  </si>
  <si>
    <t>Cheque</t>
  </si>
  <si>
    <t>Monthly/Cheque</t>
  </si>
  <si>
    <t>M1001</t>
  </si>
  <si>
    <t>M1001A</t>
  </si>
  <si>
    <t>M1001B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</si>
  <si>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</si>
  <si>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</si>
  <si>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</si>
  <si>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</si>
  <si>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</si>
  <si>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</si>
  <si>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</si>
  <si>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</si>
  <si>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</si>
  <si>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</si>
  <si>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</si>
  <si>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</si>
  <si>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</si>
  <si>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</si>
  <si>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</si>
  <si>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</si>
  <si>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</si>
  <si>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</si>
  <si>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</si>
  <si>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</si>
  <si>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</si>
  <si>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</si>
  <si>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</si>
  <si>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</si>
  <si>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</si>
  <si>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</si>
  <si>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</si>
  <si>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</si>
  <si>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</si>
  <si>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</si>
  <si>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</si>
  <si>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</si>
  <si>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</si>
  <si>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</si>
  <si>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</si>
  <si>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</si>
  <si>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</si>
  <si>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</si>
  <si>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</si>
  <si>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P1006A</t>
  </si>
  <si>
    <t>P1007A</t>
  </si>
  <si>
    <t>P2001</t>
  </si>
  <si>
    <t>P2001A</t>
  </si>
  <si>
    <t>P2001B</t>
  </si>
  <si>
    <t>P2002</t>
  </si>
  <si>
    <t>P2002A</t>
  </si>
  <si>
    <t>P2002B</t>
  </si>
  <si>
    <t>Almond Powder - 杏仁粉- Yellow- Jelly A</t>
  </si>
  <si>
    <t>P2003</t>
  </si>
  <si>
    <t>P2003A</t>
  </si>
  <si>
    <t>P2004</t>
  </si>
  <si>
    <t>20BOX/CARTON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</si>
  <si>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</si>
  <si>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</si>
  <si>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</si>
  <si>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</si>
  <si>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</si>
  <si>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</si>
  <si>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</si>
  <si>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</si>
  <si>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</si>
  <si>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</si>
  <si>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</si>
  <si>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</si>
  <si>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</si>
  <si>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</si>
  <si>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</si>
  <si>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</si>
  <si>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</si>
  <si>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</si>
  <si>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</si>
  <si>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</si>
  <si>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</si>
  <si>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</si>
  <si>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</si>
  <si>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</si>
  <si>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</si>
  <si>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</si>
  <si>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</si>
  <si>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</si>
  <si>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</si>
  <si>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</si>
  <si>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</si>
  <si>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</si>
  <si>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</si>
  <si>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</si>
  <si>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</si>
  <si>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</si>
  <si>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</si>
  <si>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</si>
  <si>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</si>
  <si>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</si>
  <si>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</si>
  <si>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</si>
  <si>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</si>
  <si>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</si>
  <si>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</si>
  <si>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</si>
  <si>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</si>
  <si>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</si>
  <si>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</si>
  <si>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</si>
  <si>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</si>
  <si>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</si>
  <si>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</si>
  <si>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</si>
  <si>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</si>
  <si>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</si>
  <si>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</si>
  <si>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</si>
  <si>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</si>
  <si>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</si>
  <si>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</si>
  <si>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</si>
  <si>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</si>
  <si>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</si>
  <si>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</si>
  <si>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</si>
  <si>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</si>
  <si>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</si>
  <si>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</si>
  <si>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</si>
  <si>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</si>
  <si>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</si>
  <si>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</si>
  <si>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</si>
  <si>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</si>
  <si>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</si>
  <si>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</si>
  <si>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</si>
  <si>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</si>
  <si>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</si>
  <si>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</si>
  <si>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</si>
  <si>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</si>
  <si>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</si>
  <si>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</si>
  <si>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</si>
  <si>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</si>
  <si>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</si>
  <si>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</si>
  <si>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</si>
  <si>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</si>
  <si>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</si>
  <si>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</si>
  <si>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</si>
  <si>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</si>
  <si>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</si>
  <si>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</si>
  <si>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</si>
  <si>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</si>
  <si>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</si>
  <si>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</si>
  <si>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</si>
  <si>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</si>
  <si>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</si>
  <si>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</si>
  <si>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</si>
  <si>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</si>
  <si>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</si>
  <si>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</si>
  <si>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</si>
  <si>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</si>
  <si>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</si>
  <si>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</si>
  <si>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</si>
  <si>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</si>
  <si>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</si>
  <si>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</si>
  <si>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</si>
  <si>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</si>
  <si>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</si>
  <si>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</si>
  <si>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</si>
  <si>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</si>
  <si>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</si>
  <si>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</si>
  <si>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</si>
  <si>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</si>
  <si>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</si>
  <si>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</si>
  <si>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</si>
  <si>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</si>
  <si>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</si>
  <si>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</si>
  <si>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</si>
  <si>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</si>
  <si>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</si>
  <si>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</si>
  <si>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</si>
  <si>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</si>
  <si>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</si>
  <si>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</si>
  <si>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</si>
  <si>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</si>
  <si>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</si>
  <si>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</si>
  <si>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</si>
  <si>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</si>
  <si>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</si>
  <si>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</si>
  <si>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</si>
  <si>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</si>
  <si>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</si>
  <si>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</si>
  <si>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</si>
  <si>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</si>
  <si>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</si>
  <si>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</si>
  <si>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</si>
  <si>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</si>
  <si>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</si>
  <si>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</si>
  <si>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</si>
  <si>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</si>
  <si>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</si>
  <si>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</si>
  <si>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</si>
  <si>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</si>
  <si>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</si>
  <si>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</si>
  <si>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</si>
  <si>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</si>
  <si>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</si>
  <si>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</si>
  <si>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</si>
  <si>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</si>
  <si>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</si>
  <si>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</si>
  <si>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</si>
  <si>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</si>
  <si>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</si>
  <si>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</si>
  <si>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</si>
  <si>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</si>
  <si>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</si>
  <si>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</si>
  <si>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</si>
  <si>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</si>
  <si>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</si>
  <si>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</si>
  <si>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</si>
  <si>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</si>
  <si>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</si>
  <si>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</si>
  <si>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</si>
  <si>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</si>
  <si>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</si>
  <si>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</si>
  <si>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</si>
  <si>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Sweetened Creamer 练奶</t>
  </si>
  <si>
    <t>P4020</t>
  </si>
  <si>
    <t>P4020A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</si>
  <si>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</si>
  <si>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</si>
  <si>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</si>
  <si>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</si>
  <si>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</si>
  <si>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</si>
  <si>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</si>
  <si>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</si>
  <si>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</si>
  <si>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</si>
  <si>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</si>
  <si>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</si>
  <si>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</si>
  <si>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</si>
  <si>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</si>
  <si>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</si>
  <si>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</si>
  <si>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</si>
  <si>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</si>
  <si>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</si>
  <si>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</si>
  <si>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</si>
  <si>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</si>
  <si>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</si>
  <si>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</si>
  <si>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</si>
  <si>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</si>
  <si>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</si>
  <si>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</si>
  <si>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</si>
  <si>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Honey Longan syrup</t>
  </si>
  <si>
    <t>P5001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</si>
  <si>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</si>
  <si>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</si>
  <si>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</si>
  <si>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</si>
  <si>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</si>
  <si>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</si>
  <si>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</si>
  <si>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</si>
  <si>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</si>
  <si>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</si>
  <si>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</si>
  <si>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</si>
  <si>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</si>
  <si>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</si>
  <si>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</si>
  <si>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</si>
  <si>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</si>
  <si>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</si>
  <si>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</si>
  <si>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</si>
  <si>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</si>
  <si>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</si>
  <si>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</si>
  <si>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</si>
  <si>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</si>
  <si>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</si>
  <si>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</si>
  <si>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</si>
  <si>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</si>
  <si>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</si>
  <si>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</si>
  <si>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</si>
  <si>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</si>
  <si>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</si>
  <si>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</si>
  <si>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</si>
  <si>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</si>
  <si>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</si>
  <si>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</si>
  <si>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</si>
  <si>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</si>
  <si>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</si>
  <si>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</si>
  <si>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</si>
  <si>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</si>
  <si>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</si>
  <si>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</si>
  <si>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</si>
  <si>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</si>
  <si>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</si>
  <si>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</si>
  <si>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</si>
  <si>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</si>
  <si>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</si>
  <si>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</si>
  <si>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</si>
  <si>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</si>
  <si>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</si>
  <si>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</si>
  <si>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P8001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</si>
  <si>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</si>
  <si>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</si>
  <si>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</si>
  <si>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</si>
  <si>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</si>
  <si>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M1023A</t>
  </si>
  <si>
    <t>M1024A</t>
  </si>
  <si>
    <t>Catholic College</t>
  </si>
  <si>
    <t>ID#153</t>
  </si>
  <si>
    <t>Paynow</t>
  </si>
  <si>
    <t>ATTN: MS Jaslin</t>
  </si>
  <si>
    <t>P3030B</t>
  </si>
  <si>
    <t>ID#154</t>
  </si>
  <si>
    <t>ID#155</t>
  </si>
  <si>
    <t>CHEF RICKSON'S KITCHEN (Ally)                  Blk 177, Bishan Street 13 #04-177 Singapore 570177</t>
  </si>
  <si>
    <t>ID#156</t>
  </si>
  <si>
    <t>AAA</t>
  </si>
  <si>
    <t>INGCOD1123</t>
  </si>
  <si>
    <t>INGCOD1069</t>
  </si>
  <si>
    <t>M1014A</t>
  </si>
  <si>
    <t>Chendol CUSTOM MADE 浆咯</t>
  </si>
  <si>
    <t>6月1日起调整价钱</t>
  </si>
  <si>
    <t>ID#157</t>
  </si>
  <si>
    <t>P5012A</t>
  </si>
  <si>
    <t>500 GM/CAN</t>
  </si>
  <si>
    <t>P3059</t>
  </si>
  <si>
    <t>Balester 411</t>
  </si>
  <si>
    <t xml:space="preserve">Kidney Beans 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</si>
  <si>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</si>
  <si>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</si>
  <si>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</si>
  <si>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</si>
  <si>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</si>
  <si>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</si>
  <si>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</si>
  <si>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</si>
  <si>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S111 Pte Ltd                                              No 39, Greenwich Drive. #01-12  Blk 8, Tampines Logistics Hub  Singapore 533863.</t>
  </si>
  <si>
    <t>4/07/2021起价格变更</t>
  </si>
  <si>
    <t>S111 PTE LTD</t>
  </si>
  <si>
    <t>TOW SUAN</t>
  </si>
  <si>
    <t>BUBOR HITAM</t>
  </si>
  <si>
    <t>BUBOR TERIGU</t>
  </si>
  <si>
    <t>SAMPLE</t>
  </si>
  <si>
    <t>FOODGLE HUB</t>
  </si>
  <si>
    <t>P8002</t>
  </si>
  <si>
    <t>P8003</t>
  </si>
  <si>
    <t>P8004</t>
  </si>
  <si>
    <t>Green Bean Soup 绿豆</t>
  </si>
  <si>
    <t>Red Beam Soup</t>
  </si>
  <si>
    <t>P8005</t>
  </si>
  <si>
    <t>P8006</t>
  </si>
  <si>
    <t>Sweet Potato Soup</t>
  </si>
  <si>
    <t>P8007</t>
  </si>
  <si>
    <t>Dessert Syrup</t>
  </si>
  <si>
    <t>P8008</t>
  </si>
  <si>
    <t xml:space="preserve">Steam Sweet Potato </t>
  </si>
  <si>
    <t>4 kgs</t>
  </si>
  <si>
    <t>ID#158</t>
  </si>
  <si>
    <t>ID#159</t>
  </si>
  <si>
    <t>P8009</t>
  </si>
  <si>
    <t>P2030</t>
  </si>
  <si>
    <t>FISH BRAND</t>
  </si>
  <si>
    <t>ID#160</t>
  </si>
  <si>
    <t>COMME ME DAS</t>
  </si>
  <si>
    <t>GIRO</t>
  </si>
  <si>
    <t>(1500:500)2KG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</si>
  <si>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</si>
  <si>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</si>
  <si>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</si>
  <si>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</si>
  <si>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</si>
  <si>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</si>
  <si>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</si>
  <si>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</si>
  <si>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VIETNAM</t>
  </si>
  <si>
    <t>FJ</t>
  </si>
  <si>
    <t>ID#162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</si>
  <si>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</si>
  <si>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</si>
  <si>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</si>
  <si>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</si>
  <si>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</si>
  <si>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</si>
  <si>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</si>
  <si>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</si>
  <si>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</si>
  <si>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</si>
  <si>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</si>
  <si>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</si>
  <si>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</si>
  <si>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</si>
  <si>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</si>
  <si>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</si>
  <si>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</si>
  <si>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</si>
  <si>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</si>
  <si>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</si>
  <si>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</si>
  <si>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</si>
  <si>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</si>
  <si>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</si>
  <si>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</si>
  <si>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</si>
  <si>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</si>
  <si>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</si>
  <si>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</si>
  <si>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</si>
  <si>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</si>
  <si>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</si>
  <si>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</si>
  <si>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</si>
  <si>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KOUFU PTE LTD</t>
  </si>
  <si>
    <t>KOUFU PTE LIMITED</t>
  </si>
  <si>
    <t>P3061</t>
  </si>
  <si>
    <t>30-12-2021</t>
  </si>
  <si>
    <t>P3062</t>
  </si>
  <si>
    <t>FOOD REPUBLIC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</si>
  <si>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</si>
  <si>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</si>
  <si>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</si>
  <si>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</si>
  <si>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</si>
  <si>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</si>
  <si>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</si>
  <si>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</si>
  <si>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</si>
  <si>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</si>
  <si>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</si>
  <si>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</si>
  <si>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</si>
  <si>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</si>
  <si>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</si>
  <si>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</si>
  <si>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</si>
  <si>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</si>
  <si>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</si>
  <si>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</si>
  <si>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</si>
  <si>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</si>
  <si>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</si>
  <si>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</si>
  <si>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</si>
  <si>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</si>
  <si>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</si>
  <si>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</si>
  <si>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</si>
  <si>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</si>
  <si>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</si>
  <si>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</si>
  <si>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</si>
  <si>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</si>
  <si>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</si>
  <si>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</si>
  <si>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</si>
  <si>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</si>
  <si>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</si>
  <si>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</si>
  <si>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</si>
  <si>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</si>
  <si>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</si>
  <si>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</si>
  <si>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</si>
  <si>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</si>
  <si>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</si>
  <si>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</si>
  <si>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</si>
  <si>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</si>
  <si>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</si>
  <si>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</si>
  <si>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</si>
  <si>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</si>
  <si>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</si>
  <si>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</si>
  <si>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</si>
  <si>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</si>
  <si>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NOTE:</t>
  </si>
  <si>
    <t>ID#182</t>
  </si>
  <si>
    <t>Deli Asia (S) Pte Ltd</t>
  </si>
  <si>
    <t>Singapore 737859</t>
  </si>
  <si>
    <t>P3063</t>
  </si>
  <si>
    <t>P4052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</si>
  <si>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</si>
  <si>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</si>
  <si>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</si>
  <si>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</si>
  <si>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</si>
  <si>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</si>
  <si>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</si>
  <si>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</si>
  <si>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</si>
  <si>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</si>
  <si>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</si>
  <si>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</si>
  <si>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</si>
  <si>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</si>
  <si>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</si>
  <si>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</si>
  <si>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EGG PUDDING POWDER</t>
  </si>
  <si>
    <t>TOSU</t>
  </si>
  <si>
    <t>P3005E</t>
  </si>
  <si>
    <t>P3007B</t>
  </si>
  <si>
    <t>P3035A</t>
  </si>
  <si>
    <t>P4053</t>
  </si>
  <si>
    <t>P4054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</si>
  <si>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</si>
  <si>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</si>
  <si>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</si>
  <si>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</si>
  <si>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</si>
  <si>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</si>
  <si>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</si>
  <si>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</si>
  <si>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</si>
  <si>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</si>
  <si>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INGSUGR005</t>
  </si>
  <si>
    <t>ID#185</t>
  </si>
  <si>
    <t xml:space="preserve">FOOD REPUBLIC PTE LTD                                   ION Orchard @ Juice Bar No: #26               2, Orchard Turn #B4-03/04        Singapore 238801                                           </t>
  </si>
  <si>
    <t xml:space="preserve">1, Woodlands Height #01-03 </t>
  </si>
  <si>
    <t>p3060</t>
  </si>
  <si>
    <t>HP: 85430143</t>
  </si>
  <si>
    <t>P3003A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</si>
  <si>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</si>
  <si>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</si>
  <si>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</si>
  <si>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</si>
  <si>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</si>
  <si>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</si>
  <si>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</si>
  <si>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</si>
  <si>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</si>
  <si>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</si>
  <si>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</si>
  <si>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</si>
  <si>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</si>
  <si>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</si>
  <si>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INGCOD1001</t>
  </si>
  <si>
    <t>ID#186</t>
  </si>
  <si>
    <t>BEVSRUP004</t>
  </si>
  <si>
    <t>P6015</t>
  </si>
  <si>
    <t>Pumpkin Gourd 金瓜</t>
  </si>
  <si>
    <t>P5002B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</si>
  <si>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</si>
  <si>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</si>
  <si>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</si>
  <si>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</si>
  <si>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</si>
  <si>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</si>
  <si>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</si>
  <si>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</si>
  <si>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</si>
  <si>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</si>
  <si>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</si>
  <si>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</si>
  <si>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</si>
  <si>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</si>
  <si>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</si>
  <si>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</si>
  <si>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Original Konjac Ball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</si>
  <si>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</si>
  <si>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</si>
  <si>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</si>
  <si>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</si>
  <si>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</si>
  <si>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</si>
  <si>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</si>
  <si>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</si>
  <si>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</si>
  <si>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</si>
  <si>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</si>
  <si>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</si>
  <si>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</si>
  <si>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</si>
  <si>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FOOD REPUBLIC PTE LTD                                  Serangoon Nex@JUICE BAR                    23, Serangoon Central #B2-63                      Singapore 550683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</si>
  <si>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</si>
  <si>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</si>
  <si>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</si>
  <si>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</si>
  <si>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</si>
  <si>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</si>
  <si>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</si>
  <si>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</si>
  <si>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</si>
  <si>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</si>
  <si>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</si>
  <si>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</si>
  <si>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</si>
  <si>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</si>
  <si>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</si>
  <si>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</si>
  <si>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</si>
  <si>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</si>
  <si>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</si>
  <si>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</si>
  <si>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</si>
  <si>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</si>
  <si>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</si>
  <si>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</si>
  <si>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</si>
  <si>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</si>
  <si>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</si>
  <si>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</si>
  <si>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</si>
  <si>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</si>
  <si>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</si>
  <si>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</si>
  <si>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</si>
  <si>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</si>
  <si>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</si>
  <si>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</si>
  <si>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</si>
  <si>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</si>
  <si>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</si>
  <si>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</si>
  <si>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</si>
  <si>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</si>
  <si>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</si>
  <si>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</si>
  <si>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</si>
  <si>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</si>
  <si>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</si>
  <si>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</si>
  <si>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</si>
  <si>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</si>
  <si>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</si>
  <si>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Mango Juice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</si>
  <si>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</si>
  <si>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</si>
  <si>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</si>
  <si>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</si>
  <si>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</si>
  <si>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</si>
  <si>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</si>
  <si>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</si>
  <si>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</si>
  <si>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</si>
  <si>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</si>
  <si>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</si>
  <si>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ID#206</t>
  </si>
  <si>
    <t>Guangdong Import &amp; Export Pte Ltd                                               48 Toh Guan Road East #07-119   Enterprise Hub Singapore 608586</t>
  </si>
  <si>
    <t>750 GM</t>
  </si>
  <si>
    <t>HONEY ROCK SUGAR</t>
  </si>
  <si>
    <t>250GM X 80PKT</t>
  </si>
  <si>
    <t>KOPITIAM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</si>
  <si>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</si>
  <si>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</si>
  <si>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</si>
  <si>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</si>
  <si>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</si>
  <si>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</si>
  <si>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</si>
  <si>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</si>
  <si>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</si>
  <si>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</si>
  <si>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</si>
  <si>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</si>
  <si>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</si>
  <si>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</si>
  <si>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</si>
  <si>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</si>
  <si>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7 Andover Rd, Singapore 509985</t>
  </si>
  <si>
    <t>Phlippine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</si>
  <si>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</si>
  <si>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</si>
  <si>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</si>
  <si>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</si>
  <si>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</si>
  <si>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</si>
  <si>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</si>
  <si>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</si>
  <si>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</si>
  <si>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</si>
  <si>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</si>
  <si>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</si>
  <si>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</si>
  <si>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</si>
  <si>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</si>
  <si>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</si>
  <si>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</si>
  <si>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</si>
  <si>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</si>
  <si>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</si>
  <si>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</si>
  <si>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</si>
  <si>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</si>
  <si>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</si>
  <si>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</si>
  <si>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</si>
  <si>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Twin Five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</si>
  <si>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</si>
  <si>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</si>
  <si>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</si>
  <si>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</si>
  <si>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</si>
  <si>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</si>
  <si>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</si>
  <si>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</si>
  <si>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</si>
  <si>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</si>
  <si>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</si>
  <si>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</si>
  <si>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</si>
  <si>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</si>
  <si>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</si>
  <si>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</si>
  <si>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</si>
  <si>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</si>
  <si>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</si>
  <si>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</si>
  <si>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XIONG</t>
  </si>
  <si>
    <t>xiong</t>
  </si>
  <si>
    <t>16/1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</si>
  <si>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</si>
  <si>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</si>
  <si>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</si>
  <si>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</si>
  <si>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</si>
  <si>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</si>
  <si>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</si>
  <si>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</si>
  <si>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</si>
  <si>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</si>
  <si>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</si>
  <si>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</si>
  <si>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</si>
  <si>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</si>
  <si>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</si>
  <si>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</si>
  <si>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</si>
  <si>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</si>
  <si>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</si>
  <si>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</si>
  <si>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</si>
  <si>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</si>
  <si>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</si>
  <si>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</si>
  <si>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</si>
  <si>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INGCOD1456</t>
  </si>
  <si>
    <t>P2022A</t>
  </si>
  <si>
    <t>Knows</t>
  </si>
  <si>
    <t>2.25 kgs</t>
  </si>
  <si>
    <t xml:space="preserve">Food Junction </t>
  </si>
  <si>
    <t>Food Junction    Food Republic</t>
  </si>
  <si>
    <t>Yellow Lemon 柠檬</t>
  </si>
  <si>
    <t xml:space="preserve">GOODWOOF PTE. LTD.                                                                                31 Woodlands Close #06-16        Singapore 737855          </t>
  </si>
  <si>
    <t>Fusionoplis one.                                           1 Fusionopolis Way Basement 2        #B2-02 Singapore 138632                                   (DRINK)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</si>
  <si>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</si>
  <si>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</si>
  <si>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</si>
  <si>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</si>
  <si>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</si>
  <si>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</si>
  <si>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</si>
  <si>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</si>
  <si>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</si>
  <si>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ORDER QUANTITY</t>
  </si>
  <si>
    <t>M1042</t>
  </si>
  <si>
    <t>Split Green Mung Bean (Steamed)  豆爽 (蒸)</t>
  </si>
  <si>
    <t>2664 Pineapple</t>
  </si>
  <si>
    <t>Sweeten Melon Cube 冬瓜粒</t>
  </si>
  <si>
    <t>P6002A</t>
  </si>
  <si>
    <t>NEW ITEM</t>
  </si>
  <si>
    <t>FLYING MAN</t>
  </si>
  <si>
    <t>3Q Konjac Jelly</t>
  </si>
  <si>
    <t>P3065</t>
  </si>
  <si>
    <t>QUAKER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</si>
  <si>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</si>
  <si>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</si>
  <si>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</si>
  <si>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</si>
  <si>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</si>
  <si>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</si>
  <si>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</si>
  <si>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</si>
  <si>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</si>
  <si>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P7026</t>
  </si>
  <si>
    <t>Grass Jelly Flavouring</t>
  </si>
  <si>
    <t>Tosu</t>
  </si>
  <si>
    <t>P4004B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</si>
  <si>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</si>
  <si>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Tai Seng Street,   #01-06/07/08      Breadtalk IHQ, Singapore 534013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</si>
  <si>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</si>
  <si>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</si>
  <si>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</si>
  <si>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</si>
  <si>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</si>
  <si>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</si>
  <si>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INGCOD1053</t>
  </si>
  <si>
    <t>ID#120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</si>
  <si>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</si>
  <si>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</si>
  <si>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</si>
  <si>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</si>
  <si>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</si>
  <si>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</si>
  <si>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</si>
  <si>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</si>
  <si>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</si>
  <si>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</si>
  <si>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</si>
  <si>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</si>
  <si>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</si>
  <si>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</si>
  <si>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</si>
  <si>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</si>
  <si>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</si>
  <si>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</si>
  <si>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</si>
  <si>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</si>
  <si>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</si>
  <si>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</si>
  <si>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</si>
  <si>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1 KG/ Box盒</t>
  </si>
  <si>
    <t>800 GM/ Bag包</t>
  </si>
  <si>
    <t>1KG/ Pkt包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</si>
  <si>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</si>
  <si>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</si>
  <si>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</si>
  <si>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</si>
  <si>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</si>
  <si>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</si>
  <si>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</si>
  <si>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</si>
  <si>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</si>
  <si>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</si>
  <si>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</si>
  <si>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</si>
  <si>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</si>
  <si>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</si>
  <si>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</si>
  <si>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</si>
  <si>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</si>
  <si>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</si>
  <si>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</si>
  <si>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</si>
  <si>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</si>
  <si>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</si>
  <si>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</si>
  <si>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</si>
  <si>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</si>
  <si>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</si>
  <si>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</si>
  <si>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</si>
  <si>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</si>
  <si>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</si>
  <si>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</si>
  <si>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</si>
  <si>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</si>
  <si>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Water Chestnut Red 马蹄爆珠-红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</si>
  <si>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</si>
  <si>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</si>
  <si>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</si>
  <si>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</si>
  <si>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</si>
  <si>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</si>
  <si>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</si>
  <si>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</si>
  <si>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</si>
  <si>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</si>
  <si>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</si>
  <si>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</si>
  <si>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</si>
  <si>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</si>
  <si>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</si>
  <si>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</si>
  <si>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JELLY POWDER T-80 (BAI LIANG FEN) 白凉粉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</si>
  <si>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</si>
  <si>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</si>
  <si>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</si>
  <si>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</si>
  <si>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</si>
  <si>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</si>
  <si>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</si>
  <si>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</si>
  <si>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</si>
  <si>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</si>
  <si>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</si>
  <si>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</si>
  <si>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</si>
  <si>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</si>
  <si>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Sour Plum 酸梅(无子)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</si>
  <si>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</si>
  <si>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</si>
  <si>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</si>
  <si>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</si>
  <si>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</si>
  <si>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</si>
  <si>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</si>
  <si>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</si>
  <si>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</si>
  <si>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</si>
  <si>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</si>
  <si>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</si>
  <si>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</si>
  <si>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</si>
  <si>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</si>
  <si>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</si>
  <si>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</si>
  <si>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</si>
  <si>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</si>
  <si>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</si>
  <si>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</si>
  <si>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</si>
  <si>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</si>
  <si>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</si>
  <si>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</si>
  <si>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</si>
  <si>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</si>
  <si>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</si>
  <si>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</si>
  <si>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</si>
  <si>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甜甜                                                                         Tiong Bahru Market.                                 30 Seng Poh Road #02-15.     Singapore 168898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</si>
  <si>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</si>
  <si>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</si>
  <si>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</si>
  <si>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</si>
  <si>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</si>
  <si>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</si>
  <si>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</si>
  <si>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</si>
  <si>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</si>
  <si>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</si>
  <si>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</si>
  <si>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</si>
  <si>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</si>
  <si>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</si>
  <si>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FOOD REPUBLIC PTE LTD                             Somerset Orchard@Drink stall No: 17   313 Orchard Road #05-01                Singapore 238895                           </t>
  </si>
  <si>
    <t xml:space="preserve">Koufu -  Drink                                              9 Tampines Street 32,   Tampines Mart. Singapore 529287.             </t>
  </si>
  <si>
    <t xml:space="preserve">Koufu - Dessert                                     Gourmet Paradise                                  Toa Payoh Lorong 6, Blk 480 #B1-01 Singapore 310480    </t>
  </si>
  <si>
    <t xml:space="preserve">FOOD REPUBLIC PTE LTD                            Shaw Lido Orchard@ICE shop                    1, Scotts Road #B1-01 Shaw Centre        Singapore 228208                      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</si>
  <si>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</si>
  <si>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</si>
  <si>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</si>
  <si>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</si>
  <si>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</si>
  <si>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</si>
  <si>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</si>
  <si>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</si>
  <si>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</si>
  <si>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</si>
  <si>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</si>
  <si>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</si>
  <si>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</si>
  <si>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</si>
  <si>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</si>
  <si>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</si>
  <si>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</si>
  <si>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</si>
  <si>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</si>
  <si>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</si>
  <si>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</si>
  <si>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</si>
  <si>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</si>
  <si>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Jenlyn</t>
  </si>
  <si>
    <t>Mixed Sugar</t>
  </si>
  <si>
    <t>200 gm</t>
  </si>
  <si>
    <t>M1044</t>
  </si>
  <si>
    <t>800 GM</t>
  </si>
  <si>
    <t>P5015</t>
  </si>
  <si>
    <t>30  DAYS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</si>
  <si>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</si>
  <si>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</si>
  <si>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</si>
  <si>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</si>
  <si>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</si>
  <si>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</si>
  <si>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</si>
  <si>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</si>
  <si>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</si>
  <si>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</si>
  <si>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</si>
  <si>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</si>
  <si>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</si>
  <si>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</si>
  <si>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</si>
  <si>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</si>
  <si>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</si>
  <si>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</si>
  <si>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INGCOD1212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</si>
  <si>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</si>
  <si>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</si>
  <si>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</si>
  <si>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</si>
  <si>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</si>
  <si>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</si>
  <si>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</si>
  <si>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Luo Han Guo</t>
  </si>
  <si>
    <t>piece</t>
  </si>
  <si>
    <t>Canned peannut</t>
  </si>
  <si>
    <t>Black Glutinous Rice</t>
  </si>
  <si>
    <t>Sugary Empire Pte Ltd</t>
  </si>
  <si>
    <t>Tel: 82047820</t>
  </si>
  <si>
    <t>Attn: Miss Aw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</si>
  <si>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</si>
  <si>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</si>
  <si>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</si>
  <si>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</si>
  <si>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</si>
  <si>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</si>
  <si>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</si>
  <si>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</si>
  <si>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</si>
  <si>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</si>
  <si>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</si>
  <si>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</si>
  <si>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</si>
  <si>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</si>
  <si>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</si>
  <si>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</si>
  <si>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</si>
  <si>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Fresh Pineapple Puree 凤梨果浆</t>
  </si>
  <si>
    <t>P1011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</si>
  <si>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</si>
  <si>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</si>
  <si>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</si>
  <si>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</si>
  <si>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</si>
  <si>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</si>
  <si>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</si>
  <si>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</si>
  <si>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</si>
  <si>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</si>
  <si>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</si>
  <si>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</si>
  <si>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R&amp;B TEA SINGAPORE                                  NTU, 76 NANYANG DRIVE #02-03 SINGAPORE 637331</t>
  </si>
  <si>
    <t>R&amp;B TEA SINGAPORE                                  991 BUANGKOK LINK #01-27 SINGAPORE 530991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</si>
  <si>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</si>
  <si>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</si>
  <si>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</si>
  <si>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</si>
  <si>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 20 TAMPINES CENTRAL                          #01-18 TAMPINES MRT,          SINGAPORE 529538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</si>
  <si>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</si>
  <si>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</si>
  <si>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</si>
  <si>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</si>
  <si>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</si>
  <si>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>Cooked Big Sago 大丸(煮)</t>
  </si>
  <si>
    <t>FG000884</t>
  </si>
  <si>
    <t>Red Lantern Restaurant Pte Ltd</t>
  </si>
  <si>
    <t>1 Can X A10 /罐</t>
  </si>
  <si>
    <t>P3069</t>
  </si>
  <si>
    <t>P3070</t>
  </si>
  <si>
    <t>P3071</t>
  </si>
  <si>
    <t>P3072</t>
  </si>
  <si>
    <t>150 pcs</t>
  </si>
  <si>
    <t>Hawthorn 山楂</t>
  </si>
  <si>
    <t>Chinese Sugarcane 竹蔗</t>
  </si>
  <si>
    <t>Ginseng Roots 洋参须</t>
  </si>
  <si>
    <t>Roselle Flower 洛神花</t>
  </si>
  <si>
    <t>100gm x 10PKT/Bag</t>
  </si>
  <si>
    <t>100gm x 10PKT/ Bag</t>
  </si>
  <si>
    <t>60gm x 10PKT/ Bag</t>
  </si>
  <si>
    <t>125gm x 10PKT/ Bag</t>
  </si>
  <si>
    <t xml:space="preserve">Koufu - Drink                                             735. Pasir Ris West Plaza.                                  Pasir Ris Street 72 #01-336.                               Singapore 510735          </t>
  </si>
  <si>
    <t xml:space="preserve">Koufu - Dim Sum                                             735. Pasir Ris West Plaza.                                  Pasir Ris Street 72 #01-336.                               Singapore 510735          </t>
  </si>
  <si>
    <t>TOTAL</t>
  </si>
  <si>
    <t>3kg</t>
  </si>
  <si>
    <t>P3058A</t>
  </si>
  <si>
    <t>5 KG/ Pkt</t>
  </si>
  <si>
    <t>2 KG/ Pkt</t>
  </si>
  <si>
    <t>4 KG X 4 Tub/ Ctn箱</t>
  </si>
  <si>
    <t>2 KG (20 X 100GM)/ Pkt包</t>
  </si>
  <si>
    <t>500 GM X 20/ Ctn箱</t>
  </si>
  <si>
    <t>850 GM/ Can罐</t>
  </si>
  <si>
    <t>3.2 KG/ Tub桶</t>
  </si>
  <si>
    <t>1 KG/ Bag包</t>
  </si>
  <si>
    <t>4 KG/ Tub桶</t>
  </si>
  <si>
    <t>25 KG</t>
  </si>
  <si>
    <t>350 GM x 24/ Ctn箱</t>
  </si>
  <si>
    <t xml:space="preserve">500 GM/pkt </t>
  </si>
  <si>
    <t>4 KG</t>
  </si>
  <si>
    <t>500 GM x 10</t>
  </si>
  <si>
    <t>(600 GM x 20)/ Ctn箱</t>
  </si>
  <si>
    <t>600 GM</t>
  </si>
  <si>
    <t>500 GM/ Can</t>
  </si>
  <si>
    <t>2.5 KG</t>
  </si>
  <si>
    <t>1 KG (500 GM X 2)</t>
  </si>
  <si>
    <t>500GM X 24/ Ctn箱</t>
  </si>
  <si>
    <t>25 KG/ Bag</t>
  </si>
  <si>
    <t>3 KG/ Tin</t>
  </si>
  <si>
    <t>30 KGS</t>
  </si>
  <si>
    <t>10 PKT/ Bag</t>
  </si>
  <si>
    <t>15 KG</t>
  </si>
  <si>
    <t>500 ML x12 BT/ Ctn</t>
  </si>
  <si>
    <t>1 LT/ Btl</t>
  </si>
  <si>
    <t>5 LT/ Btl</t>
  </si>
  <si>
    <t>450 ML/ Btl</t>
  </si>
  <si>
    <t>506 GM</t>
  </si>
  <si>
    <t>50 GM</t>
  </si>
  <si>
    <t>20 KG/ Tin</t>
  </si>
  <si>
    <t>400 GM x 50 pkt/ Ctn</t>
  </si>
  <si>
    <t>10 KG/ ctn</t>
  </si>
  <si>
    <t>6 KG</t>
  </si>
  <si>
    <t>6 KG X 6 PKT/ Bag</t>
  </si>
  <si>
    <t>3 KG X 6 PKT/ Ctn</t>
  </si>
  <si>
    <t>24 CAN/ Ctn</t>
  </si>
  <si>
    <t>825 GM X 12/ Ctn</t>
  </si>
  <si>
    <t>425 GM x 24</t>
  </si>
  <si>
    <t>4 LT</t>
  </si>
  <si>
    <t>600 ML x 24/ Ctn箱</t>
  </si>
  <si>
    <t>820 GM x 12/ Ctn箱</t>
  </si>
  <si>
    <t>425 GM x 24/ Ctn箱</t>
  </si>
  <si>
    <t>410 GM x 24/ Ctn箱</t>
  </si>
  <si>
    <t>425 GM/ Can</t>
  </si>
  <si>
    <t>410 GM/ Can</t>
  </si>
  <si>
    <t xml:space="preserve">3.3 KG/ Can </t>
  </si>
  <si>
    <t>3.3 KG X 6/ Ctn</t>
  </si>
  <si>
    <t>397 GM x 24/ Ctn箱</t>
  </si>
  <si>
    <t>380 GM x 48/ Ctn箱</t>
  </si>
  <si>
    <t>380 GM/ Can</t>
  </si>
  <si>
    <t>405 GM x 48/ Ctn箱</t>
  </si>
  <si>
    <t>405 GM/ Can罐</t>
  </si>
  <si>
    <t>385 GM x 48/ Ctn箱</t>
  </si>
  <si>
    <t>385 GM/ Can</t>
  </si>
  <si>
    <t>567 GM x 12/ Ctn箱</t>
  </si>
  <si>
    <t>ID#218</t>
  </si>
  <si>
    <t>ID#219</t>
  </si>
  <si>
    <t>P6001A</t>
  </si>
  <si>
    <t>P6001B</t>
  </si>
  <si>
    <t>2 KGS</t>
  </si>
  <si>
    <t>Koufu - White Sands                                                 1 Pasir Ris Central St 3, #03-01/02,    Singapore 518457                         (Drink)</t>
  </si>
  <si>
    <t>Koufu - White Sands                                                 1 Pasir Ris Central St 3, #03-01/02,    Singapore 518457                         (Dessert)</t>
  </si>
  <si>
    <t>KOUFU White Sand</t>
  </si>
  <si>
    <t>TEL: 91548191                                                                                          80 Bendemeer Road #01-01 Singapore 339949</t>
  </si>
  <si>
    <t>P2001a</t>
  </si>
  <si>
    <t>1/8 起调整价钱</t>
  </si>
  <si>
    <t>ID#220</t>
  </si>
  <si>
    <t>MOB: 97541469                                                                 4, WOODLANDS STREET 12        MARSILING MALL #01-55                 SINGAPORE 738620</t>
  </si>
  <si>
    <t>COST      AS AT            30-11-2023</t>
  </si>
  <si>
    <t>Durian Puree 榴莲酱</t>
  </si>
  <si>
    <t>Mango Puree 芒果酱</t>
  </si>
  <si>
    <t>Passion Fruit Puree 百香果酱</t>
  </si>
  <si>
    <t>Fresh Pineapple Puree 凤梨果酱</t>
  </si>
  <si>
    <t>500 GM X 2 PKT</t>
  </si>
  <si>
    <t>Koufu - Drink                                         258 Pasir Ris Street 21,  Loyang Point, #02-313,  Singapore 510258</t>
  </si>
  <si>
    <t>P3067A</t>
  </si>
  <si>
    <t>Koufu Rasapura Masters                            2, Bayfront Avenue #B2-49A/50A Singapore 018972                                  (Nine Fresh Counter)</t>
  </si>
  <si>
    <t>Koufu Rasapura Masters                    2, Bayfront Avenue #B2-49A/50A Singapore 018972                              (Dim Dum)</t>
  </si>
  <si>
    <t>IR, Singapore Pool Stall                       2 Bayfront Avenue. #01-01  Singapore 018972</t>
  </si>
  <si>
    <t>Koufu Rasapura Masters                         2, Bayfront Avenue #B2-49A/50A Singapore 018972                              (Dessert)</t>
  </si>
  <si>
    <t>Koufu - Dim Sum                                       4 Bukit Batok Street 41,                       #01-22/23/24/25/26/27/28,                       Le Quest Mall, Singapore 657991</t>
  </si>
  <si>
    <t>KOUFU 480</t>
  </si>
  <si>
    <t>Y2024 GST</t>
  </si>
  <si>
    <t>New Price 1-4-2024</t>
  </si>
  <si>
    <t>1/1起调整价钱</t>
  </si>
  <si>
    <t>Rickson #04-177</t>
  </si>
  <si>
    <t>Koufu 467 Bukit Batok</t>
  </si>
  <si>
    <t>P3073</t>
  </si>
  <si>
    <t>Xia Gu Cao 夏古草</t>
  </si>
  <si>
    <t>1kg / Pkt</t>
  </si>
  <si>
    <t>Xi Yue Yuan Pte Ltd                                  Pioneer Central, 1 Soon Lee Street #01-32 Singapore 627605</t>
  </si>
  <si>
    <t>P2027A</t>
  </si>
  <si>
    <t>1KG/ Pkt</t>
  </si>
  <si>
    <t>P3074</t>
  </si>
  <si>
    <t>White Pepper 白胡椒粉 (100% pure)</t>
  </si>
  <si>
    <t>KI-FMD DESSERT SHOP</t>
  </si>
  <si>
    <t>FairPrice Hub Singpaore 629117</t>
  </si>
  <si>
    <t>1, Joo Koon Circle #13-01</t>
  </si>
  <si>
    <t>Attention: Miss Chen Hsin Ping</t>
  </si>
  <si>
    <t>YKGI FoodCourt Management Pte Ltd</t>
  </si>
  <si>
    <t>YKGI FOODCOURT MANAGEMENT PL            1, Stadium Place #02-16/K6. Sports Hub Retail Mall. Singapore 397628</t>
  </si>
  <si>
    <t xml:space="preserve">KI - FMD Dessert Shop                                                                          10 Senoko Way, Singapore 758031  Level 3 (Dessert)        </t>
  </si>
  <si>
    <t>Koufu - Drink                                             4 Bukit Batok Street 41,                       #01-22/23/24/25/26/27/28,                       Le Quest Mall, Singapore 657991</t>
  </si>
  <si>
    <t>Special Mixed Beans 8 宝豆</t>
  </si>
  <si>
    <t>3 KG/ Can罐</t>
  </si>
  <si>
    <t xml:space="preserve">KOUFU PTE LTD - Dim Sum                                    BLK 671, Edgefield Plains  #01-01                  Singapore 820671              </t>
  </si>
  <si>
    <t xml:space="preserve">KOUFU PTE LTD - Drink                                    BLK 671, Edgefield Plains  #01-01                  Singapore 820671              </t>
  </si>
  <si>
    <t>P6001C</t>
  </si>
  <si>
    <t>Koufu 735 Pasir Ris</t>
  </si>
  <si>
    <t>FLYING MAN飞人</t>
  </si>
  <si>
    <t>Koufu - Drink                                             Blk 57 Dawson Road, #02-09/10 Dawson Place, Singapore 142057</t>
  </si>
  <si>
    <t>Koufu - Dim Sum                                             Blk 57 Dawson Road, #02-09/10 Dawson Place, Singapore 142057</t>
  </si>
  <si>
    <t>180 Paya Lebar Road #09-05 
Yi Guang Building, Singapore 409032</t>
  </si>
  <si>
    <t>Rose 721</t>
  </si>
  <si>
    <t>P3063A</t>
  </si>
  <si>
    <t>M1046A</t>
  </si>
  <si>
    <t>BLACK SESAME PASTE 黑芝麻糊</t>
  </si>
  <si>
    <t>800 GM/ Box</t>
  </si>
  <si>
    <t>M1046B</t>
  </si>
  <si>
    <t>4 KGS/ Tub</t>
  </si>
  <si>
    <t>M1047</t>
  </si>
  <si>
    <t>ID#221</t>
  </si>
  <si>
    <t>ID#222</t>
  </si>
  <si>
    <t>ID#223</t>
  </si>
  <si>
    <t>ID#224</t>
  </si>
  <si>
    <t>ID#225</t>
  </si>
  <si>
    <t>Elemen</t>
  </si>
  <si>
    <t xml:space="preserve">Elemen @ Millenia Walk                            9 Raffles Boulevard, Millenia Walk    #01-75/75A/76 Singapore 039596 </t>
  </si>
  <si>
    <t xml:space="preserve">Elemen @ Paya Lebar Quarter                  10 Paya Lebar Road #03-13                    Paya Lebar Quarter, Singapore 409057 </t>
  </si>
  <si>
    <t xml:space="preserve">Elemen @ Great World City                         1 Kim Seng Promenade, #01-122,       Great World City, Singapore 237994 </t>
  </si>
  <si>
    <t>Elemen @ Koufu HQ                                      1 Woodlands Height #01-02 Singapore 737859</t>
  </si>
  <si>
    <t>NTUC Foodfare Co-operative Ltd</t>
  </si>
  <si>
    <t>1 Joo Koon Circle #13-01</t>
  </si>
  <si>
    <t>Fine Food @ NUS                                      1 Create Way #01-04. NUS University Town, Singapore 138602</t>
  </si>
  <si>
    <t>Lemongrass Flavour Aiyu Jelly</t>
  </si>
  <si>
    <t xml:space="preserve">Koufu - Dim Sum                                            370 Alexandra Road #B1-20/21 Anchorpoint, Singapore 159953      </t>
  </si>
  <si>
    <t xml:space="preserve">Koufu - Drink                                                  370 Alexandra Road #B1-20/21 Anchorpoint, Singapore 159953      </t>
  </si>
  <si>
    <t>GW 1 KG/ BOX</t>
  </si>
  <si>
    <t>Elemen @ Harbourfront Centre                  1 Maritime Square, #02-85                Singapore 099253</t>
  </si>
  <si>
    <t>0511PO00068116</t>
  </si>
  <si>
    <t>P2026</t>
  </si>
  <si>
    <t>BLUE KEY</t>
  </si>
  <si>
    <t>1KG X 12/ Ctn</t>
  </si>
  <si>
    <t>P2026A</t>
  </si>
  <si>
    <t>Self Raising Flour 自发面粉</t>
  </si>
  <si>
    <t>1KG/ Box</t>
  </si>
  <si>
    <t>Elemen F&amp;B Pte Ltd</t>
  </si>
  <si>
    <t>1/4/2024 Price Adjustment 起调整价钱</t>
  </si>
  <si>
    <t xml:space="preserve">FOOD REPUBLIC PTE LTD                                  City Square@Juice Bar                                        180 Kitchener Road #04-31                  Singapore 208539                                           </t>
  </si>
  <si>
    <t xml:space="preserve">FOOD REPUBLIC PTE LTD                                  City Square@Drink Stall #14A                            180 Kitchener Road #04-31                  Singapore 208539                                           </t>
  </si>
  <si>
    <t>KOUFU ELEMEN</t>
  </si>
  <si>
    <t>KOUFU NINE FRESH</t>
  </si>
  <si>
    <t>ID#226</t>
  </si>
  <si>
    <t>Nine Fresh Pte Ltd</t>
  </si>
  <si>
    <t>Skinless Sweet Potato 去皮番薯</t>
  </si>
  <si>
    <t>Purple Sweet Potato 紫番薯</t>
  </si>
  <si>
    <t>Yam Skinless 去皮芋头</t>
  </si>
  <si>
    <t>Drink &amp; Dessert Stall                                         252 North Bridge Road.                                  #03-15/16/17 Raffles City Shopping Centre.  Singapore 189768.</t>
  </si>
  <si>
    <t>Nine Fresh</t>
  </si>
  <si>
    <t>ID#227</t>
  </si>
  <si>
    <t>Koufu - Dessert                                               100 Bukit Timah Rd, #01-28                    KK Hospital, Singapore 229899</t>
  </si>
  <si>
    <t>Raffle Girls' School                                              2, Braddell Rise, Singapore 31887</t>
  </si>
  <si>
    <t xml:space="preserve">Michael </t>
  </si>
  <si>
    <t>Tel: 96853003</t>
  </si>
  <si>
    <t>Bean Curd Jelly 豆花冻</t>
  </si>
  <si>
    <t>200 ml</t>
  </si>
  <si>
    <t>Bowl</t>
  </si>
  <si>
    <t>paynow</t>
  </si>
  <si>
    <t>P3028A</t>
  </si>
  <si>
    <t xml:space="preserve">Koufu - Drink                                            Block 478 Tampines Street 44                       #01-221 Singapore 250478                                               </t>
  </si>
  <si>
    <t xml:space="preserve">Koufu - DESSERT                                            Block 478 Tampines Street 44                       #01-221 Singapore 250478                                               </t>
  </si>
  <si>
    <t>ID#228</t>
  </si>
  <si>
    <t>Koufu - Drink                                                   215C Compassvale Drive, #01-06                  Singapore 543215</t>
  </si>
  <si>
    <t>INGCOD1067</t>
  </si>
  <si>
    <t>INGCOD1014</t>
  </si>
  <si>
    <t>INGCOD1058</t>
  </si>
  <si>
    <t>Tadpole JELLY  蝌蚪</t>
  </si>
  <si>
    <t>Deliver around 10:30am</t>
  </si>
  <si>
    <t>Combined Stalls                                               Junction 8. 9 Bishan Place                               #04-01. Junction 8 Shopping Centre. Singapore 579837</t>
  </si>
  <si>
    <t>DELIVERED ON 24/04/2024</t>
  </si>
  <si>
    <t>ID#229</t>
  </si>
  <si>
    <t>ID#230</t>
  </si>
  <si>
    <t>Koufu - Dim Sum                                            Koufu Food Court @ Woodlands Health    17 Woodlands Drive 17, #B1-03/04  Singapore 737628</t>
  </si>
  <si>
    <t>Koufu - Dessert                                               Koufu Food Court @ Woodlands Health    17 Woodlands Drive 17, #B1-03/04  Singapore 737628</t>
  </si>
  <si>
    <t>Greece</t>
  </si>
  <si>
    <t>Peaches Halves Quality 桃畔</t>
  </si>
  <si>
    <t>12can x 825G/Ctn箱</t>
  </si>
  <si>
    <t>Chendol 浆咯 (陈顺美）</t>
  </si>
  <si>
    <t>INGCOD1426</t>
  </si>
  <si>
    <t>ID#231</t>
  </si>
  <si>
    <t>Zuya Vegetarian Cafe                                      6 Raffles Boulevard #02-223,      Marina Square Mall,                       Singapore 039594</t>
  </si>
  <si>
    <t>P4033A</t>
  </si>
  <si>
    <t>1 BOTTLE</t>
  </si>
  <si>
    <t>Zuya Vegetarian</t>
  </si>
  <si>
    <t>ID#232</t>
  </si>
  <si>
    <t xml:space="preserve">FOOD REPUBLIC PTE LTD                                  City Square@Ice Shop                             180 Kitchener Road #B3-04                  Singapore 208539                                           </t>
  </si>
  <si>
    <t>weekly change to 100kg</t>
  </si>
  <si>
    <t>ID#233</t>
  </si>
  <si>
    <t>Koufu                                                                602B Tampines Ave 9, #01-01                  Singapore 522602</t>
  </si>
  <si>
    <t xml:space="preserve">FOOD REPUBLIC PTE LTD                                   Parkway Parade @Dessert                       80 Marine Parade Road #B1-85        Singapore 449269                            </t>
  </si>
  <si>
    <t>Kazuya Pte Ltd</t>
  </si>
  <si>
    <t>1550, Bedok North Ave 4, #02-32</t>
  </si>
  <si>
    <t>@ Bedok JTC Food City</t>
  </si>
  <si>
    <t>Singapore 489950</t>
  </si>
  <si>
    <t>Office mobile number: 8868 7090</t>
  </si>
  <si>
    <t>P3075</t>
  </si>
  <si>
    <t>Emping Belinjo 苦饼</t>
  </si>
  <si>
    <t>5kg / Ctn箱</t>
  </si>
  <si>
    <t>(565gm x 12)/ Ctn箱</t>
  </si>
  <si>
    <t>(565gm x 6)/ Ctn箱</t>
  </si>
  <si>
    <t>(3kg X 6)/ Ctn箱</t>
  </si>
  <si>
    <t>NW(2.2:0.8) 3kg/ Bag包</t>
  </si>
  <si>
    <t>NW(2.1:0.9) 3kg/ Bag包</t>
  </si>
  <si>
    <t>NW(1.6:0.6) 2.2kg/ Bag包</t>
  </si>
  <si>
    <t>Coconut Milk 天然鲜椰浆</t>
  </si>
  <si>
    <t>Heng Guan</t>
  </si>
  <si>
    <t>500GM/ Pkt包</t>
  </si>
  <si>
    <t>NINE FRESH                                                       8A Admiralty Street                              Food Exchange #02-29                     Singapore 757437</t>
  </si>
  <si>
    <t>ID#234</t>
  </si>
  <si>
    <t>P3066D</t>
  </si>
  <si>
    <t>1 KGS</t>
  </si>
  <si>
    <t>ID#235</t>
  </si>
  <si>
    <t>0258PO00069093</t>
  </si>
  <si>
    <t>ID#236</t>
  </si>
  <si>
    <t>Koufu 478 Tampines</t>
  </si>
  <si>
    <t>Koufu KK Hospital</t>
  </si>
  <si>
    <t>Koufu Woodlands Health</t>
  </si>
  <si>
    <t>P2007E</t>
  </si>
  <si>
    <t>Aiyu Powder  爱玉粉</t>
  </si>
  <si>
    <t>50gms x 10 pkt</t>
  </si>
  <si>
    <t>(836gm x 12)/ Ctn箱</t>
  </si>
  <si>
    <t>(567gm x 24)/ Ctn箱</t>
  </si>
  <si>
    <t>P6002C</t>
  </si>
  <si>
    <t>滨海甜品                                                      Blk 248, Simei St 5. Singapore 520248</t>
  </si>
  <si>
    <t>Diablo Mart</t>
  </si>
  <si>
    <t>Select Group</t>
  </si>
  <si>
    <t>ID#237</t>
  </si>
  <si>
    <t>24A Senoko South Road</t>
  </si>
  <si>
    <t>Singapore 758099</t>
  </si>
  <si>
    <t>Attention: Miss Lily Ho</t>
  </si>
  <si>
    <t>Passion Fruit Puree 百香果</t>
  </si>
  <si>
    <t>70 Shenton Way, #16-11</t>
  </si>
  <si>
    <t>Singapore 079118</t>
  </si>
  <si>
    <t>Three Six Company Pte Ltd</t>
  </si>
  <si>
    <t>Food Junction Singapore Pte Ltd</t>
  </si>
  <si>
    <t>Fruit Cocktail Signature 杂果</t>
  </si>
  <si>
    <t>ID#238</t>
  </si>
  <si>
    <t xml:space="preserve">Koufu - DIM SUM                                            Block 478 Tampines Street 44                       #01-221 Singapore 250478                                               </t>
  </si>
  <si>
    <t>P2037</t>
  </si>
  <si>
    <t>M1048A</t>
  </si>
  <si>
    <t>Busy Honey Miel 蜂蜜</t>
  </si>
  <si>
    <t>Busy B</t>
  </si>
  <si>
    <t>Konniyaku Powder</t>
  </si>
  <si>
    <t>TC1100</t>
  </si>
  <si>
    <t>Peanut Paste 花生湖</t>
  </si>
  <si>
    <t>Select</t>
  </si>
  <si>
    <t>M1046C</t>
  </si>
  <si>
    <t>800 GM/ Pkt包</t>
  </si>
  <si>
    <t>ID#239</t>
  </si>
  <si>
    <t>M1029A</t>
  </si>
  <si>
    <t>150 ML/ Bowl</t>
  </si>
  <si>
    <t>M1049A</t>
  </si>
  <si>
    <t>Herbal Jelly 菊花罗汉果冻</t>
  </si>
  <si>
    <t>Diablo Mart Pte Ltd                                         Diablo Mart @ WE                                           30 Sunview Way, Singapore 627544                Contact: Thomas  Hp: 81279825</t>
  </si>
  <si>
    <t>Hawkers Street Tampines-Drinks Stall            10 Tampines Central 1, #05-05/06/07, Tampines 1, Singapore 529536</t>
  </si>
  <si>
    <t>105A740D</t>
  </si>
  <si>
    <t>0049PO00073952</t>
  </si>
  <si>
    <t>106B715A</t>
  </si>
  <si>
    <t>102C256B</t>
  </si>
  <si>
    <t>105A303D</t>
  </si>
  <si>
    <t>105A300C</t>
  </si>
  <si>
    <t>105B320B</t>
  </si>
  <si>
    <t>105D331C</t>
  </si>
  <si>
    <t>105B052B</t>
  </si>
  <si>
    <t>105B830L</t>
  </si>
  <si>
    <t>105D303B</t>
  </si>
  <si>
    <t>102C580E</t>
  </si>
  <si>
    <t>ID#240</t>
  </si>
  <si>
    <t>Hawkers Street BPP-Drinks Stall                       1 Jelebu Rd, Bukit Panjang Plaza,      #03-08 to 09, Singapore 677743  Contact person: Jia Ling 8909 0766</t>
  </si>
  <si>
    <t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t>
  </si>
  <si>
    <t>0049PO00073991</t>
  </si>
  <si>
    <t>102C126A</t>
  </si>
  <si>
    <t>102C160A</t>
  </si>
  <si>
    <t>105D304C</t>
  </si>
  <si>
    <t>106B720F</t>
  </si>
  <si>
    <t>102C525A</t>
  </si>
  <si>
    <t>105A771B</t>
  </si>
  <si>
    <t>105A304D</t>
  </si>
  <si>
    <t>105A520E</t>
  </si>
  <si>
    <t>105F631D</t>
  </si>
  <si>
    <t>105F635A</t>
  </si>
  <si>
    <t>102B312D</t>
  </si>
  <si>
    <t>106C400B</t>
  </si>
  <si>
    <t>NINE FRESH                                                      10 Admiralty Street, Northlink #04-53, Singapore 757695                               Contact: 65701012 (Ms Cindy)</t>
  </si>
  <si>
    <t>Kidney Bean 大红豆 (云南）</t>
  </si>
  <si>
    <t>105A800A</t>
  </si>
  <si>
    <t>105B310B</t>
  </si>
  <si>
    <t>105C003K</t>
  </si>
  <si>
    <t>105C009G</t>
  </si>
  <si>
    <t>105C018B</t>
  </si>
  <si>
    <t>105D102B</t>
  </si>
  <si>
    <t>105D400B</t>
  </si>
  <si>
    <t>106C483D</t>
  </si>
  <si>
    <t>106C491B</t>
  </si>
  <si>
    <t>1KG</t>
  </si>
  <si>
    <t>P6019</t>
  </si>
  <si>
    <t>Lemongrass 香茅</t>
  </si>
  <si>
    <t>Does not use whole corn (statue)</t>
  </si>
  <si>
    <t>P3037B</t>
  </si>
  <si>
    <t>8 MM</t>
  </si>
  <si>
    <t>Smoked Plum 乌梅</t>
  </si>
  <si>
    <t>P3054A</t>
  </si>
  <si>
    <t>ID#241</t>
  </si>
  <si>
    <t>Koufu-Drink Stall                                                1 Venture Avenue, #02-05,         Perennial Business City,         Singapore 608521</t>
  </si>
  <si>
    <t>COD/Paynow</t>
  </si>
  <si>
    <t>102C141A</t>
  </si>
  <si>
    <t>INGSUGR013</t>
  </si>
  <si>
    <t>P3063B</t>
  </si>
  <si>
    <t>P6020</t>
  </si>
  <si>
    <t>Frozen Mango 芒果冷冻</t>
  </si>
  <si>
    <t>P3002A</t>
  </si>
  <si>
    <t>FOOD DYNASTY PTE LTD                                      101 THOMSON ROAD #B1-56                      UNITED SQUARE SINGAPORE 307591</t>
  </si>
  <si>
    <t>106C407A</t>
  </si>
  <si>
    <t>Punggol OASIS (Gourmet Paradise) - Fruits Stall                                              681 Punggol Drive #04-01               OASIS Terraces, Singapore 820681</t>
  </si>
  <si>
    <t>Hawkers Street Pte Ltd</t>
  </si>
  <si>
    <t>Tiong Bahru Soya Bean                               52 Tiong Bahru Road #02-63.        Singapore 168716</t>
  </si>
  <si>
    <t>ID#242</t>
  </si>
  <si>
    <t>ID#243</t>
  </si>
  <si>
    <t>Universal Dining Pte Ltd</t>
  </si>
  <si>
    <t>Universal Dining T2- Stall 1- Drinks                60 Airport Boulevard, Terminal 2 Departure Transit Lounge,             Central Level 3, Singapore 819643  Contact person: Ben 85108039</t>
  </si>
  <si>
    <t>Pacific</t>
  </si>
  <si>
    <t>(565gm x 12)/箱</t>
  </si>
  <si>
    <t>ID#244</t>
  </si>
  <si>
    <t>Makan Street                                                  2 Jurong East Street 21, #03-55           IMM Building, Singapore 609601</t>
  </si>
  <si>
    <t>27 Woodlands Link #04-01</t>
  </si>
  <si>
    <t>Chang Cheng HQ</t>
  </si>
  <si>
    <t>Singapore 738732</t>
  </si>
  <si>
    <t>Chang Cheng F&amp;B</t>
  </si>
  <si>
    <t>01/10/2024 Price Adjustment 起调整价钱</t>
  </si>
  <si>
    <t>Water Chestnut Pop Ball White 马蹄爆珠-白</t>
  </si>
  <si>
    <t>Chang Cheng Food &amp; Beverage Pte Ltd</t>
  </si>
  <si>
    <t>P3076</t>
  </si>
  <si>
    <t>Peanut Powder 花生碎</t>
  </si>
  <si>
    <t>Diced Hawthorn 山楂碎</t>
  </si>
  <si>
    <t>500g/Pkt包</t>
  </si>
  <si>
    <t>Fine Food @The South Spine                    50, Nanyang Avenue South Spine Food Court Canteen B, Singapore 639798</t>
  </si>
  <si>
    <t>P2038A</t>
  </si>
  <si>
    <t>P2038B</t>
  </si>
  <si>
    <t>P2038C</t>
  </si>
  <si>
    <t>Snow Ice Powder-Strawberry 雪花冰粉-草莓</t>
  </si>
  <si>
    <t>Snow Ice Powder-Matcha 雪花冰粉-抹茶</t>
  </si>
  <si>
    <t>Price Adjustment 即日起调整价钱</t>
  </si>
  <si>
    <t>P3033A</t>
  </si>
  <si>
    <t>4 KG/ Btl支</t>
  </si>
  <si>
    <t>105B310E</t>
  </si>
  <si>
    <t>FJM/PO-00076280</t>
  </si>
  <si>
    <t>Chang Cheng</t>
  </si>
  <si>
    <t>ID#245</t>
  </si>
  <si>
    <t>ID#246</t>
  </si>
  <si>
    <t xml:space="preserve">R&amp;B TEA SINGAPORE                                 BLK 127 PLANTATION CRESCENT,        PLANTATION PLAZA #B1-14,                        SINGAPORE 690127 </t>
  </si>
  <si>
    <t>SengHong</t>
  </si>
  <si>
    <t>TeckSeng</t>
  </si>
  <si>
    <t>4 kg/ Btl支</t>
  </si>
  <si>
    <t>GW:5 KG/ Pkt包</t>
  </si>
  <si>
    <t>GW:5 KG/ Tub桶</t>
  </si>
  <si>
    <t>GW:1 KG/ Box盒</t>
  </si>
  <si>
    <t>Hawkers Street Ion@Drinks                        2 Orchard Turn, Ion Orchard               #B4-66, Singapore 238801                 Contact person: Jia Ling 8909 0766</t>
  </si>
  <si>
    <t>ID#247</t>
  </si>
  <si>
    <t>Koufu 548</t>
  </si>
  <si>
    <t>P6005A</t>
  </si>
  <si>
    <t>Woodlands 548 Foodcourt Pte Ltd                   Blk 548 Woodlands Drive 44,            #02-34, Singapore 730548</t>
  </si>
  <si>
    <t>Woodlands 548 Foodcourt Pte Ltd</t>
  </si>
  <si>
    <t>4 KG/ Pkt包</t>
  </si>
  <si>
    <t>M1016A</t>
  </si>
  <si>
    <t>GW: 5 KG/ Btl支</t>
  </si>
  <si>
    <t xml:space="preserve">Food Junction                                                    Westgate Combined Stalls                                   3 Gateway Drive, #B1-28/29 Westgate        Singapore 608532                           </t>
  </si>
  <si>
    <t>ID#248</t>
  </si>
  <si>
    <t>Kenny Wong     Mobile: 8732 2999                   51 Yishun Avenue 11, Yishun Park Hawker Centre #01-23, Singapore 768867</t>
  </si>
  <si>
    <t>Kenny Yishun Park Hawker</t>
  </si>
  <si>
    <t>GoldenBoy</t>
  </si>
  <si>
    <t>P4060</t>
  </si>
  <si>
    <t>(567gm x 12)/ Ctn箱</t>
  </si>
  <si>
    <t>Combined Stalls                                                       1 Kim Seng Promenade #03-116.              Great World City Singapore 237994</t>
  </si>
  <si>
    <t>Drink &amp; Dessert Stall                                          CCK Lots1 Stall #15.                                            21 Choa Chu Kang Ave 4, #04-15.                   Lot One Shoppers Mall. Singapore 689812</t>
  </si>
  <si>
    <t>Juice Stall                                                            Jewel Changi Airport. Five Spice, Stall #01. 78, Airport Boulevard. #B2-238/239/240. (819666)</t>
  </si>
  <si>
    <t>DRINK &amp; DESSERT STALL                                  Nex 23 Serangoon Central                               #04-16. Nex Shopping Mall. Singapore 556083</t>
  </si>
  <si>
    <t>ID#249</t>
  </si>
  <si>
    <t xml:space="preserve">FOOD REPUBLIC PTE LTD                        Wisma Atria Orchard@Juice Bar.          435 Orchard Road #04-02                Wisma Atria, Singapore 238877                           </t>
  </si>
  <si>
    <t xml:space="preserve">FOOD REPUBLIC PTE LTD                        Wisma Atria Orchard@Drink Stall.          435 Orchard Road #04-02                Wisma Atria, Singapore 238877                           </t>
  </si>
  <si>
    <t>Minimum order quantiy (MOQ) is $150 for delivery to be arranged.  Thank you.</t>
  </si>
  <si>
    <t>P7027</t>
  </si>
  <si>
    <t>Lychee</t>
  </si>
  <si>
    <t xml:space="preserve">DELI ASIA (S) PTE LTD                                      1, Woodlands Height #01-03,                         #06-02    SINGAPORE 737859                  </t>
  </si>
  <si>
    <t>12月1日起调整价钱</t>
  </si>
  <si>
    <t>M1016B</t>
  </si>
  <si>
    <t>10 PCS/PKT</t>
  </si>
  <si>
    <t>Paradise Oriental Pte Ltd                                                                             200 Victoria Street, Bugis Junction #02-50 Singapore 188021</t>
  </si>
  <si>
    <t>Paradise Oriental Pte Ltd</t>
  </si>
  <si>
    <t>Paradise</t>
  </si>
  <si>
    <t>0511PO00071049</t>
  </si>
  <si>
    <t>0258PO00070739</t>
  </si>
  <si>
    <t>Hill Street Coffee Shop- T3 Drinks 7                 65 Airport Boulevard, Level 3     Terminal 3 Departure Transit Area, Singapore 819663                                  Contact person: Ben 85108039</t>
  </si>
  <si>
    <t>ID#250</t>
  </si>
  <si>
    <t xml:space="preserve">FOOD REPUBLIC PTE LTD                                   ION Orchard @ Fruit Stall                           2, Orchard Turn #B4-03/04        Singapore 238801                                           </t>
  </si>
  <si>
    <t xml:space="preserve">FOOD REPUBLIC PTE LTD                                   ION Orchard @ Drink Stall                          2, Orchard Turn #B4-03/04        Singapore 238801                                           </t>
  </si>
  <si>
    <t>P4061</t>
  </si>
  <si>
    <t>P4061A</t>
  </si>
  <si>
    <t>0622PO00073258</t>
  </si>
  <si>
    <t>Fine Food (F&amp;B) Pte Ltd</t>
  </si>
  <si>
    <t>ID#251</t>
  </si>
  <si>
    <t>Koufu-Drink Stall                                                127 Plantation Crescent, 03-02,  Plantation Plaza, Singapore 690127</t>
  </si>
  <si>
    <t>ID#252</t>
  </si>
  <si>
    <t>Fullybooked</t>
  </si>
  <si>
    <t>45 Tai Thong Crescent</t>
  </si>
  <si>
    <t>Singapore 347866</t>
  </si>
  <si>
    <t>Fullybooked                                                         45 Tai Thong Crescent,                Singapore 347866</t>
  </si>
  <si>
    <t>P1012</t>
  </si>
  <si>
    <t>QQ Jelly</t>
  </si>
  <si>
    <t>P4062</t>
  </si>
  <si>
    <t>Pomelo in Syrup 柚子</t>
  </si>
  <si>
    <t>(850gm x 12)/ Ctn箱</t>
  </si>
  <si>
    <t>P2023A</t>
  </si>
  <si>
    <t>600 gm/pkt包</t>
  </si>
  <si>
    <t>Snow Ice Powder-Mango 雪花冰粉-杨枝甘露</t>
  </si>
  <si>
    <t>E067663</t>
  </si>
  <si>
    <t>P2039C</t>
  </si>
  <si>
    <t>Matcha Powder-抹茶粉</t>
  </si>
  <si>
    <t>M1036E</t>
  </si>
  <si>
    <t>Snow Ice - Vanilla 雪花冰-香草</t>
  </si>
  <si>
    <t>Snow Ice - White Coconut 雪花冰-椰子</t>
  </si>
  <si>
    <t>P4063</t>
  </si>
  <si>
    <t>2 kg</t>
  </si>
  <si>
    <t>FJM/PO-00080589</t>
  </si>
  <si>
    <t>Paradise Hotpot Pte Ltd                                                                             Westgate Drive, Westgate, #03-10/11 Singapore 608532</t>
  </si>
  <si>
    <t>ID#253</t>
  </si>
  <si>
    <t>P3077</t>
  </si>
  <si>
    <t>Strawberry Syrup 草莓</t>
  </si>
  <si>
    <t>104D500A</t>
  </si>
  <si>
    <t>104D501B</t>
  </si>
  <si>
    <t>FOC REPLACEMENT</t>
  </si>
  <si>
    <t>1/1/2025 Price Adjustment 起调整价钱</t>
  </si>
  <si>
    <t>R&amp;B TEA SINGAPORE                                    2 BAYFRONT AVENUE                              #B2-49/53 MARINA BAY SANDS, SINGAPORE 018972</t>
  </si>
  <si>
    <t>107B400C</t>
  </si>
  <si>
    <t>R&amp;B TEA SINGAPORE                                          9 RAFFLES BOULEVARD                                #01-K15 MILLENIA WALK,        SINGAPORE 039596</t>
  </si>
  <si>
    <t xml:space="preserve">FOOD REPUBLIC PTE LTD                           Somerset Orchard@Ice shop No: 17      313 Orchard Road #05-01                Singapore 238895                           </t>
  </si>
  <si>
    <t>ID#254</t>
  </si>
  <si>
    <t>Old Chang Kee Singapore Pte. Ltd.                   2 Woodlands Terrace,                 Singapore 738427</t>
  </si>
  <si>
    <t>Old Chang Kee Singapore Pte. Ltd.</t>
  </si>
  <si>
    <t>M1028A</t>
  </si>
  <si>
    <t>600 GM/ Bag包</t>
  </si>
  <si>
    <t>Old Chang Kee</t>
  </si>
  <si>
    <t>3 Colours Taro/ Sweet Potato Ball</t>
  </si>
  <si>
    <t>Chocolate Syrup 可可</t>
  </si>
  <si>
    <t>R&amp;B TEA SINGAPORE                                 101 THOMSON ROAD                              #02-K1 UNITED SQUARE,              SINGAPORE 307591</t>
  </si>
  <si>
    <t>Koufu - Drinks                                                              70 Jellicoe Road #01-03                         V Hotel Lavender,                    Singapore 208767</t>
  </si>
  <si>
    <t xml:space="preserve">Koufu - Dessert                                    Sengkang General Community Hospital. 110 Sengkang East Way, #01-21 Singapore 544886                                 Attn: Jane  HP: 80636808                                                    </t>
  </si>
  <si>
    <t>0049PO00076222</t>
  </si>
  <si>
    <t>NF49PO000444</t>
  </si>
  <si>
    <t>Combines Stall / Century Square                           Stall #01                                                                    2, Tampines Central 5, #03-20       Century Square</t>
  </si>
  <si>
    <t xml:space="preserve">Koufu -  Dim Sum                                          9 Tampines Street 32,   Tampines Mart. Singapore 529287.             </t>
  </si>
  <si>
    <t xml:space="preserve">Koufu - Dessert                                             9, Tampines Street 32,   Tampines Mart. Singapore 529287.             </t>
  </si>
  <si>
    <t>R&amp;B TEA SINGAPORE                                 681 PUNGGOL DRIVE                                #B1-03 OASIS TERRACES,            SINGAPORE 820681</t>
  </si>
  <si>
    <t>FMD FOOD MANUFACTURING (FMD DESSERT)                                                                    10 Senoko Way, Singapore 758031  Level 3 (Dessert)                            Contact Person:  Mei Yei Low</t>
  </si>
  <si>
    <t>PO-89-00657</t>
  </si>
  <si>
    <t>PO-40-308897</t>
  </si>
  <si>
    <t>562.000413</t>
  </si>
  <si>
    <t>582.000306</t>
  </si>
  <si>
    <t>135.101194</t>
  </si>
  <si>
    <t>0258PO00071171</t>
  </si>
  <si>
    <t>Punggol OASIS (Gourmet Paradise) - Drink Stall                                                681 Punggol Drive #04-01               OASIS Terraces, Singapore 820681</t>
  </si>
  <si>
    <t>R&amp;B TEA SINGAPORE                                  30 SEMBAWANG DRIVE                           #B1-38 SUN PLAZA,                   SINGAPORE 757713</t>
  </si>
  <si>
    <t>KFG-PO-00024286</t>
  </si>
  <si>
    <t>141.101413</t>
  </si>
  <si>
    <t>269.100809</t>
  </si>
  <si>
    <t>105D571B</t>
  </si>
  <si>
    <t>RTE 010</t>
  </si>
  <si>
    <t>Almond Jelly with Longan 龙眼杏仁果冻</t>
  </si>
  <si>
    <t>230 GM/ Bowl</t>
  </si>
  <si>
    <t>FOC</t>
  </si>
  <si>
    <t>RTE 004</t>
  </si>
  <si>
    <t>900G</t>
  </si>
  <si>
    <t>Red Pomelo Syrup</t>
  </si>
  <si>
    <t>Paradise Hotpot Pte Ltd</t>
  </si>
  <si>
    <t>PO-DA-0000011699</t>
  </si>
  <si>
    <t>TOTAL Dec 2024 SALES</t>
  </si>
  <si>
    <t>Today Kampung Chicken Rice Restaurant 日日茶室                                                               71 Seng Poh Road #01-49                 Singapore 160071</t>
  </si>
  <si>
    <t>OCK</t>
  </si>
  <si>
    <t>ID#255</t>
  </si>
  <si>
    <t>FOOD REPUBLIC PTE LTD                                  Serangoon Nex@ICE SHOP                    23, Serangoon Central #B2-63                      Singapore 550683</t>
  </si>
  <si>
    <t>15/1/2025 Price Adjustment 起调整价钱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</si>
</sst>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d\/m\/yyyy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8.5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0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6" fillId="2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1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3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2" xfId="0" applyFont="1" applyBorder="1"/>
    <xf numFmtId="164" fontId="14" fillId="11" borderId="3" xfId="1" applyFont="1" applyFill="1" applyBorder="1" applyAlignment="1">
      <alignment horizontal="center"/>
    </xf>
    <xf numFmtId="0" fontId="8" fillId="0" borderId="45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9" borderId="1" xfId="0" applyFill="1" applyBorder="1"/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0" fillId="3" borderId="1" xfId="0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164" fontId="20" fillId="0" borderId="3" xfId="1" applyFont="1" applyFill="1" applyBorder="1" applyAlignment="1">
      <alignment horizontal="center"/>
    </xf>
    <xf numFmtId="164" fontId="0" fillId="0" borderId="0" xfId="1" applyFont="1"/>
    <xf numFmtId="164" fontId="0" fillId="3" borderId="39" xfId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13" fillId="0" borderId="1" xfId="2" applyFill="1" applyBorder="1"/>
    <xf numFmtId="0" fontId="0" fillId="0" borderId="37" xfId="0" applyBorder="1"/>
    <xf numFmtId="16" fontId="8" fillId="0" borderId="0" xfId="0" applyNumberFormat="1" applyFont="1"/>
    <xf numFmtId="0" fontId="8" fillId="0" borderId="32" xfId="0" applyFont="1" applyBorder="1" applyAlignment="1">
      <alignment horizontal="center"/>
    </xf>
    <xf numFmtId="0" fontId="13" fillId="0" borderId="37" xfId="2" applyFill="1" applyBorder="1"/>
    <xf numFmtId="14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2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28" fillId="0" borderId="0" xfId="0" applyFont="1"/>
    <xf numFmtId="0" fontId="29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/>
    <xf numFmtId="0" fontId="31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14" fillId="0" borderId="0" xfId="1" applyFont="1" applyAlignment="1">
      <alignment horizontal="center"/>
    </xf>
    <xf numFmtId="0" fontId="32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" fontId="8" fillId="0" borderId="2" xfId="0" applyNumberFormat="1" applyFont="1" applyBorder="1" applyAlignment="1">
      <alignment wrapText="1"/>
    </xf>
    <xf numFmtId="164" fontId="14" fillId="0" borderId="0" xfId="1" applyFont="1" applyBorder="1" applyAlignment="1"/>
    <xf numFmtId="165" fontId="0" fillId="3" borderId="1" xfId="1" applyNumberFormat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2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164" fontId="14" fillId="0" borderId="0" xfId="1" applyFont="1" applyBorder="1"/>
    <xf numFmtId="0" fontId="3" fillId="0" borderId="35" xfId="0" applyFont="1" applyBorder="1"/>
    <xf numFmtId="164" fontId="0" fillId="12" borderId="25" xfId="1" applyFont="1" applyFill="1" applyBorder="1" applyAlignment="1">
      <alignment horizontal="center" vertical="center" wrapText="1"/>
    </xf>
    <xf numFmtId="0" fontId="0" fillId="0" borderId="3" xfId="0" applyBorder="1"/>
    <xf numFmtId="165" fontId="0" fillId="0" borderId="0" xfId="1" applyNumberFormat="1" applyFont="1"/>
    <xf numFmtId="165" fontId="0" fillId="0" borderId="1" xfId="1" applyNumberFormat="1" applyFont="1" applyBorder="1"/>
    <xf numFmtId="0" fontId="3" fillId="3" borderId="30" xfId="0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left" wrapText="1" indent="1"/>
    </xf>
    <xf numFmtId="0" fontId="24" fillId="0" borderId="0" xfId="0" applyFont="1" applyAlignment="1">
      <alignment horizontal="left"/>
    </xf>
    <xf numFmtId="0" fontId="8" fillId="0" borderId="50" xfId="0" applyFont="1" applyBorder="1"/>
    <xf numFmtId="0" fontId="8" fillId="0" borderId="51" xfId="0" applyFont="1" applyBorder="1"/>
    <xf numFmtId="164" fontId="3" fillId="3" borderId="39" xfId="1" applyFont="1" applyFill="1" applyBorder="1" applyAlignment="1">
      <alignment horizontal="center" vertical="center" wrapText="1"/>
    </xf>
    <xf numFmtId="165" fontId="3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horizontal="center" vertical="center"/>
    </xf>
    <xf numFmtId="165" fontId="0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wrapText="1"/>
    </xf>
    <xf numFmtId="164" fontId="3" fillId="0" borderId="0" xfId="1" applyFont="1" applyFill="1"/>
    <xf numFmtId="164" fontId="3" fillId="3" borderId="4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 indent="1"/>
    </xf>
    <xf numFmtId="16" fontId="2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0" fillId="0" borderId="13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14" fillId="0" borderId="55" xfId="0" applyFont="1" applyBorder="1" applyAlignment="1">
      <alignment horizontal="center"/>
    </xf>
    <xf numFmtId="165" fontId="3" fillId="0" borderId="0" xfId="1" applyNumberFormat="1" applyFont="1" applyFill="1"/>
    <xf numFmtId="0" fontId="26" fillId="3" borderId="38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165" fontId="26" fillId="3" borderId="39" xfId="1" applyNumberFormat="1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vertical="center" wrapText="1"/>
    </xf>
    <xf numFmtId="0" fontId="12" fillId="0" borderId="1" xfId="0" applyFont="1" applyBorder="1"/>
    <xf numFmtId="0" fontId="26" fillId="3" borderId="39" xfId="0" applyFont="1" applyFill="1" applyBorder="1" applyAlignment="1">
      <alignment vertical="center"/>
    </xf>
    <xf numFmtId="0" fontId="12" fillId="0" borderId="36" xfId="0" applyFont="1" applyBorder="1"/>
    <xf numFmtId="20" fontId="12" fillId="0" borderId="1" xfId="0" applyNumberFormat="1" applyFont="1" applyBorder="1"/>
    <xf numFmtId="0" fontId="12" fillId="0" borderId="35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164" fontId="3" fillId="6" borderId="0" xfId="1" applyFont="1" applyFill="1"/>
    <xf numFmtId="0" fontId="12" fillId="0" borderId="52" xfId="0" applyFont="1" applyBorder="1" applyAlignment="1">
      <alignment horizontal="center"/>
    </xf>
    <xf numFmtId="164" fontId="42" fillId="2" borderId="36" xfId="1" applyFont="1" applyFill="1" applyBorder="1" applyAlignment="1">
      <alignment horizontal="center"/>
    </xf>
    <xf numFmtId="165" fontId="5" fillId="0" borderId="36" xfId="1" applyNumberFormat="1" applyFont="1" applyFill="1" applyBorder="1"/>
    <xf numFmtId="165" fontId="12" fillId="0" borderId="36" xfId="1" applyNumberFormat="1" applyFont="1" applyFill="1" applyBorder="1"/>
    <xf numFmtId="165" fontId="12" fillId="0" borderId="36" xfId="1" applyNumberFormat="1" applyFont="1" applyFill="1" applyBorder="1" applyAlignment="1">
      <alignment horizontal="center"/>
    </xf>
    <xf numFmtId="0" fontId="5" fillId="0" borderId="36" xfId="0" applyFont="1" applyBorder="1"/>
    <xf numFmtId="164" fontId="5" fillId="0" borderId="36" xfId="1" applyFont="1" applyBorder="1"/>
    <xf numFmtId="164" fontId="12" fillId="0" borderId="36" xfId="1" applyFont="1" applyFill="1" applyBorder="1"/>
    <xf numFmtId="165" fontId="5" fillId="0" borderId="1" xfId="1" applyNumberFormat="1" applyFont="1" applyFill="1" applyBorder="1"/>
    <xf numFmtId="0" fontId="5" fillId="0" borderId="1" xfId="0" applyFont="1" applyBorder="1"/>
    <xf numFmtId="164" fontId="5" fillId="0" borderId="1" xfId="1" applyFont="1" applyBorder="1"/>
    <xf numFmtId="164" fontId="5" fillId="0" borderId="1" xfId="1" applyFont="1" applyFill="1" applyBorder="1"/>
    <xf numFmtId="0" fontId="12" fillId="0" borderId="28" xfId="0" applyFont="1" applyBorder="1" applyAlignment="1">
      <alignment horizontal="center"/>
    </xf>
    <xf numFmtId="164" fontId="42" fillId="2" borderId="1" xfId="1" applyFont="1" applyFill="1" applyBorder="1" applyAlignment="1">
      <alignment horizontal="center"/>
    </xf>
    <xf numFmtId="165" fontId="12" fillId="0" borderId="1" xfId="1" applyNumberFormat="1" applyFont="1" applyFill="1" applyBorder="1"/>
    <xf numFmtId="165" fontId="5" fillId="0" borderId="1" xfId="1" applyNumberFormat="1" applyFont="1" applyFill="1" applyBorder="1" applyAlignment="1">
      <alignment horizontal="center"/>
    </xf>
    <xf numFmtId="165" fontId="12" fillId="0" borderId="1" xfId="1" applyNumberFormat="1" applyFont="1" applyFill="1" applyBorder="1" applyAlignment="1">
      <alignment horizontal="center"/>
    </xf>
    <xf numFmtId="165" fontId="5" fillId="0" borderId="1" xfId="1" applyNumberFormat="1" applyFont="1" applyBorder="1"/>
    <xf numFmtId="164" fontId="12" fillId="0" borderId="1" xfId="1" applyFont="1" applyFill="1" applyBorder="1"/>
    <xf numFmtId="0" fontId="12" fillId="0" borderId="1" xfId="0" applyFont="1" applyBorder="1" applyAlignment="1">
      <alignment vertical="center"/>
    </xf>
    <xf numFmtId="164" fontId="12" fillId="2" borderId="1" xfId="1" applyFont="1" applyFill="1" applyBorder="1" applyAlignment="1">
      <alignment horizontal="center"/>
    </xf>
    <xf numFmtId="0" fontId="43" fillId="0" borderId="1" xfId="0" applyFont="1" applyBorder="1"/>
    <xf numFmtId="165" fontId="43" fillId="0" borderId="1" xfId="1" applyNumberFormat="1" applyFont="1" applyFill="1" applyBorder="1"/>
    <xf numFmtId="0" fontId="5" fillId="0" borderId="28" xfId="0" applyFont="1" applyBorder="1" applyAlignment="1">
      <alignment horizontal="center"/>
    </xf>
    <xf numFmtId="165" fontId="12" fillId="0" borderId="37" xfId="1" applyNumberFormat="1" applyFont="1" applyFill="1" applyBorder="1"/>
    <xf numFmtId="165" fontId="12" fillId="0" borderId="35" xfId="1" applyNumberFormat="1" applyFont="1" applyFill="1" applyBorder="1"/>
    <xf numFmtId="165" fontId="5" fillId="0" borderId="35" xfId="1" applyNumberFormat="1" applyFont="1" applyFill="1" applyBorder="1"/>
    <xf numFmtId="0" fontId="4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5" fillId="0" borderId="28" xfId="0" applyFont="1" applyBorder="1"/>
    <xf numFmtId="164" fontId="43" fillId="12" borderId="1" xfId="1" applyFont="1" applyFill="1" applyBorder="1"/>
    <xf numFmtId="0" fontId="5" fillId="0" borderId="52" xfId="0" applyFont="1" applyBorder="1" applyAlignment="1">
      <alignment horizontal="center"/>
    </xf>
    <xf numFmtId="164" fontId="12" fillId="2" borderId="1" xfId="1" applyFont="1" applyFill="1" applyBorder="1"/>
    <xf numFmtId="0" fontId="12" fillId="2" borderId="1" xfId="0" applyFont="1" applyFill="1" applyBorder="1"/>
    <xf numFmtId="164" fontId="20" fillId="2" borderId="1" xfId="1" applyFont="1" applyFill="1" applyBorder="1"/>
    <xf numFmtId="165" fontId="43" fillId="0" borderId="1" xfId="1" applyNumberFormat="1" applyFont="1" applyFill="1" applyBorder="1" applyAlignment="1">
      <alignment horizontal="center"/>
    </xf>
    <xf numFmtId="0" fontId="12" fillId="0" borderId="53" xfId="0" applyFont="1" applyBorder="1" applyAlignment="1">
      <alignment horizontal="center"/>
    </xf>
    <xf numFmtId="164" fontId="42" fillId="12" borderId="1" xfId="1" applyFont="1" applyFill="1" applyBorder="1"/>
    <xf numFmtId="0" fontId="5" fillId="0" borderId="54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165" fontId="5" fillId="0" borderId="1" xfId="0" applyNumberFormat="1" applyFont="1" applyBorder="1"/>
    <xf numFmtId="165" fontId="5" fillId="0" borderId="37" xfId="1" applyNumberFormat="1" applyFont="1" applyFill="1" applyBorder="1"/>
    <xf numFmtId="0" fontId="20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1" applyFont="1" applyBorder="1"/>
    <xf numFmtId="164" fontId="12" fillId="0" borderId="0" xfId="1" applyFont="1" applyFill="1" applyBorder="1"/>
    <xf numFmtId="165" fontId="12" fillId="2" borderId="1" xfId="1" applyNumberFormat="1" applyFont="1" applyFill="1" applyBorder="1"/>
    <xf numFmtId="165" fontId="12" fillId="13" borderId="1" xfId="1" applyNumberFormat="1" applyFont="1" applyFill="1" applyBorder="1"/>
    <xf numFmtId="164" fontId="5" fillId="2" borderId="1" xfId="1" applyFont="1" applyFill="1" applyBorder="1"/>
    <xf numFmtId="164" fontId="5" fillId="2" borderId="0" xfId="1" applyFont="1" applyFill="1" applyBorder="1"/>
    <xf numFmtId="164" fontId="5" fillId="0" borderId="0" xfId="1" applyFont="1" applyBorder="1"/>
    <xf numFmtId="0" fontId="12" fillId="0" borderId="36" xfId="0" applyFont="1" applyBorder="1" applyAlignment="1">
      <alignment vertical="center"/>
    </xf>
    <xf numFmtId="165" fontId="5" fillId="0" borderId="29" xfId="1" applyNumberFormat="1" applyFont="1" applyFill="1" applyBorder="1"/>
    <xf numFmtId="165" fontId="5" fillId="0" borderId="36" xfId="1" applyNumberFormat="1" applyFont="1" applyBorder="1"/>
    <xf numFmtId="0" fontId="12" fillId="0" borderId="35" xfId="0" applyFont="1" applyBorder="1" applyAlignment="1">
      <alignment vertical="center"/>
    </xf>
    <xf numFmtId="165" fontId="5" fillId="0" borderId="35" xfId="1" applyNumberFormat="1" applyFont="1" applyBorder="1"/>
    <xf numFmtId="0" fontId="12" fillId="0" borderId="29" xfId="0" applyFont="1" applyBorder="1"/>
    <xf numFmtId="165" fontId="5" fillId="0" borderId="28" xfId="1" applyNumberFormat="1" applyFont="1" applyFill="1" applyBorder="1"/>
    <xf numFmtId="164" fontId="5" fillId="0" borderId="29" xfId="1" applyFont="1" applyBorder="1"/>
    <xf numFmtId="0" fontId="5" fillId="0" borderId="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64" fontId="12" fillId="2" borderId="36" xfId="1" applyFont="1" applyFill="1" applyBorder="1" applyAlignment="1">
      <alignment horizontal="center"/>
    </xf>
    <xf numFmtId="164" fontId="5" fillId="0" borderId="36" xfId="1" applyFont="1" applyFill="1" applyBorder="1"/>
    <xf numFmtId="165" fontId="5" fillId="0" borderId="36" xfId="1" applyNumberFormat="1" applyFont="1" applyFill="1" applyBorder="1" applyAlignment="1">
      <alignment horizontal="center"/>
    </xf>
    <xf numFmtId="165" fontId="12" fillId="0" borderId="29" xfId="1" applyNumberFormat="1" applyFont="1" applyFill="1" applyBorder="1"/>
    <xf numFmtId="164" fontId="5" fillId="10" borderId="0" xfId="1" applyFont="1" applyFill="1"/>
    <xf numFmtId="164" fontId="5" fillId="6" borderId="0" xfId="1" applyFont="1" applyFill="1"/>
    <xf numFmtId="164" fontId="12" fillId="6" borderId="1" xfId="1" applyFont="1" applyFill="1" applyBorder="1" applyAlignment="1">
      <alignment horizontal="center"/>
    </xf>
    <xf numFmtId="9" fontId="8" fillId="0" borderId="0" xfId="0" applyNumberFormat="1" applyFont="1"/>
    <xf numFmtId="0" fontId="28" fillId="6" borderId="0" xfId="0" applyFont="1" applyFill="1"/>
    <xf numFmtId="164" fontId="5" fillId="0" borderId="0" xfId="1" applyFont="1"/>
    <xf numFmtId="164" fontId="12" fillId="9" borderId="1" xfId="1" applyFont="1" applyFill="1" applyBorder="1" applyAlignment="1">
      <alignment horizontal="center"/>
    </xf>
    <xf numFmtId="9" fontId="28" fillId="9" borderId="0" xfId="0" applyNumberFormat="1" applyFont="1" applyFill="1"/>
    <xf numFmtId="164" fontId="12" fillId="14" borderId="1" xfId="1" applyFont="1" applyFill="1" applyBorder="1" applyAlignment="1">
      <alignment horizontal="center"/>
    </xf>
    <xf numFmtId="44" fontId="12" fillId="0" borderId="1" xfId="1" applyNumberFormat="1" applyFont="1" applyFill="1" applyBorder="1"/>
    <xf numFmtId="0" fontId="8" fillId="0" borderId="0" xfId="0" applyFont="1" applyAlignment="1">
      <alignment wrapText="1"/>
    </xf>
    <xf numFmtId="0" fontId="0" fillId="0" borderId="1" xfId="0" applyBorder="1" applyAlignment="1">
      <alignment horizontal="center" vertical="center" wrapText="1"/>
    </xf>
    <xf numFmtId="164" fontId="44" fillId="2" borderId="1" xfId="1" applyFont="1" applyFill="1" applyBorder="1" applyAlignment="1">
      <alignment horizont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8" fillId="0" borderId="0" xfId="1" applyFont="1" applyBorder="1" applyAlignment="1">
      <alignment horizontal="center" vertical="center"/>
    </xf>
    <xf numFmtId="164" fontId="14" fillId="0" borderId="3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2" xfId="0" applyFont="1" applyBorder="1" applyAlignment="1">
      <alignment horizontal="left" indent="1"/>
    </xf>
    <xf numFmtId="164" fontId="12" fillId="8" borderId="1" xfId="1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6" fillId="2" borderId="25" xfId="0" applyFont="1" applyFill="1" applyBorder="1" applyAlignment="1">
      <alignment horizontal="right" vertical="center"/>
    </xf>
    <xf numFmtId="0" fontId="6" fillId="2" borderId="25" xfId="0" applyFont="1" applyFill="1" applyBorder="1" applyAlignment="1">
      <alignment horizontal="right" vertical="center" wrapText="1"/>
    </xf>
    <xf numFmtId="0" fontId="6" fillId="2" borderId="27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 indent="1"/>
    </xf>
    <xf numFmtId="164" fontId="8" fillId="0" borderId="0" xfId="1" applyFont="1" applyBorder="1" applyAlignment="1">
      <alignment horizontal="right"/>
    </xf>
    <xf numFmtId="164" fontId="14" fillId="0" borderId="3" xfId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164" fontId="8" fillId="0" borderId="5" xfId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5" fillId="0" borderId="0" xfId="0" applyFont="1" applyAlignment="1">
      <alignment horizontal="right"/>
    </xf>
    <xf numFmtId="164" fontId="8" fillId="0" borderId="8" xfId="0" applyNumberFormat="1" applyFont="1" applyBorder="1" applyAlignment="1">
      <alignment horizontal="right"/>
    </xf>
    <xf numFmtId="9" fontId="8" fillId="0" borderId="13" xfId="0" applyNumberFormat="1" applyFont="1" applyBorder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8" fillId="0" borderId="11" xfId="1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9" fontId="8" fillId="0" borderId="13" xfId="0" applyNumberFormat="1" applyFont="1" applyBorder="1" applyAlignment="1">
      <alignment horizontal="left"/>
    </xf>
    <xf numFmtId="0" fontId="5" fillId="0" borderId="29" xfId="0" applyFont="1" applyBorder="1"/>
    <xf numFmtId="0" fontId="20" fillId="0" borderId="2" xfId="0" applyFont="1" applyBorder="1" applyAlignment="1">
      <alignment horizontal="center"/>
    </xf>
    <xf numFmtId="0" fontId="33" fillId="0" borderId="0" xfId="0" applyFont="1" applyAlignment="1">
      <alignment horizontal="left" indent="1"/>
    </xf>
    <xf numFmtId="164" fontId="3" fillId="10" borderId="1" xfId="1" applyFont="1" applyFill="1" applyBorder="1" applyAlignment="1">
      <alignment horizontal="center"/>
    </xf>
    <xf numFmtId="164" fontId="14" fillId="0" borderId="0" xfId="1" applyFont="1" applyFill="1"/>
    <xf numFmtId="0" fontId="24" fillId="0" borderId="0" xfId="0" applyFont="1" applyAlignment="1">
      <alignment horizontal="left" indent="1"/>
    </xf>
    <xf numFmtId="165" fontId="5" fillId="6" borderId="1" xfId="1" applyNumberFormat="1" applyFont="1" applyFill="1" applyBorder="1"/>
    <xf numFmtId="165" fontId="43" fillId="6" borderId="1" xfId="1" applyNumberFormat="1" applyFont="1" applyFill="1" applyBorder="1"/>
    <xf numFmtId="165" fontId="5" fillId="6" borderId="36" xfId="1" applyNumberFormat="1" applyFont="1" applyFill="1" applyBorder="1"/>
    <xf numFmtId="0" fontId="8" fillId="3" borderId="0" xfId="0" applyFont="1" applyFill="1"/>
    <xf numFmtId="0" fontId="8" fillId="0" borderId="0" xfId="0" applyFont="1" applyAlignment="1">
      <alignment horizontal="left" indent="3"/>
    </xf>
    <xf numFmtId="164" fontId="43" fillId="0" borderId="1" xfId="1" applyFont="1" applyFill="1" applyBorder="1"/>
    <xf numFmtId="165" fontId="0" fillId="6" borderId="39" xfId="1" applyNumberFormat="1" applyFont="1" applyFill="1" applyBorder="1" applyAlignment="1">
      <alignment horizontal="center" vertical="center" wrapText="1"/>
    </xf>
    <xf numFmtId="165" fontId="0" fillId="6" borderId="1" xfId="1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164" fontId="0" fillId="6" borderId="1" xfId="1" applyFont="1" applyFill="1" applyBorder="1" applyAlignment="1">
      <alignment horizontal="center" vertical="center" wrapText="1"/>
    </xf>
    <xf numFmtId="16" fontId="27" fillId="0" borderId="2" xfId="0" applyNumberFormat="1" applyFont="1" applyBorder="1" applyAlignment="1">
      <alignment horizontal="center"/>
    </xf>
    <xf numFmtId="0" fontId="27" fillId="0" borderId="0" xfId="0" applyFont="1"/>
    <xf numFmtId="0" fontId="35" fillId="0" borderId="0" xfId="0" applyFont="1"/>
    <xf numFmtId="0" fontId="18" fillId="0" borderId="0" xfId="0" applyFont="1" applyAlignment="1">
      <alignment horizontal="center"/>
    </xf>
    <xf numFmtId="16" fontId="6" fillId="0" borderId="2" xfId="0" applyNumberFormat="1" applyFont="1" applyBorder="1" applyAlignment="1">
      <alignment horizontal="left" indent="1"/>
    </xf>
    <xf numFmtId="164" fontId="14" fillId="0" borderId="0" xfId="1" applyFont="1" applyFill="1" applyBorder="1" applyAlignment="1">
      <alignment horizontal="center" vertical="center"/>
    </xf>
    <xf numFmtId="164" fontId="14" fillId="0" borderId="0" xfId="1" applyFont="1" applyFill="1" applyBorder="1"/>
    <xf numFmtId="0" fontId="45" fillId="0" borderId="0" xfId="0" applyFont="1" applyAlignment="1">
      <alignment horizontal="left"/>
    </xf>
    <xf numFmtId="0" fontId="37" fillId="0" borderId="0" xfId="0" applyFont="1"/>
    <xf numFmtId="0" fontId="4" fillId="0" borderId="1" xfId="0" applyFont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28" xfId="0" applyBorder="1"/>
    <xf numFmtId="0" fontId="0" fillId="0" borderId="34" xfId="0" applyBorder="1"/>
    <xf numFmtId="0" fontId="0" fillId="0" borderId="29" xfId="0" applyBorder="1"/>
    <xf numFmtId="0" fontId="4" fillId="0" borderId="2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0" borderId="2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6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0" fillId="0" borderId="28" xfId="0" applyBorder="1" applyAlignment="1">
      <alignment horizontal="left" wrapText="1"/>
    </xf>
    <xf numFmtId="0" fontId="14" fillId="0" borderId="0" xfId="0" applyFont="1"/>
    <xf numFmtId="0" fontId="20" fillId="0" borderId="0" xfId="0" applyFont="1" applyAlignment="1">
      <alignment horizontal="center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8" fillId="0" borderId="0" xfId="0" applyFont="1" applyAlignment="1">
      <alignment vertical="top" wrapText="1"/>
    </xf>
    <xf numFmtId="0" fontId="30" fillId="0" borderId="49" xfId="0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0" fillId="0" borderId="0" xfId="0"/>
    <xf numFmtId="0" fontId="8" fillId="0" borderId="14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0" xfId="0" applyFont="1"/>
    <xf numFmtId="0" fontId="20" fillId="0" borderId="0" xfId="0" applyFont="1" applyAlignment="1">
      <alignment horizontal="left" inden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166" fontId="8" fillId="0" borderId="28" xfId="0" applyNumberFormat="1" applyFont="1" applyBorder="1" applyAlignment="1">
      <alignment horizontal="center"/>
    </xf>
    <xf numFmtId="166" fontId="8" fillId="0" borderId="48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7" xfId="0" applyFont="1" applyBorder="1"/>
    <xf numFmtId="0" fontId="6" fillId="0" borderId="0" xfId="0" applyFont="1" applyAlignment="1">
      <alignment horizontal="center"/>
    </xf>
    <xf numFmtId="0" fontId="37" fillId="0" borderId="0" xfId="0" applyFont="1"/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0" fontId="6" fillId="0" borderId="0" xfId="0" applyFont="1" applyAlignment="1">
      <alignment horizontal="left" indent="1"/>
    </xf>
    <xf numFmtId="0" fontId="16" fillId="0" borderId="0" xfId="0" applyFont="1"/>
    <xf numFmtId="0" fontId="41" fillId="0" borderId="0" xfId="0" applyFont="1"/>
    <xf numFmtId="0" fontId="8" fillId="0" borderId="3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left" indent="1"/>
    </xf>
    <xf numFmtId="14" fontId="8" fillId="0" borderId="1" xfId="0" applyNumberFormat="1" applyFont="1" applyBorder="1" applyAlignment="1">
      <alignment horizontal="center"/>
    </xf>
    <xf numFmtId="0" fontId="37" fillId="0" borderId="0" xfId="0" applyFont="1" applyAlignment="1">
      <alignment horizontal="left"/>
    </xf>
    <xf numFmtId="0" fontId="8" fillId="0" borderId="2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166" fontId="8" fillId="0" borderId="1" xfId="0" quotePrefix="1" applyNumberFormat="1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20" fillId="0" borderId="14" xfId="0" applyFont="1" applyBorder="1" applyAlignment="1">
      <alignment horizontal="center"/>
    </xf>
    <xf numFmtId="0" fontId="13" fillId="0" borderId="4" xfId="2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36" fillId="0" borderId="0" xfId="0" applyFont="1"/>
    <xf numFmtId="0" fontId="6" fillId="0" borderId="0" xfId="0" applyFont="1"/>
    <xf numFmtId="0" fontId="18" fillId="0" borderId="0" xfId="0" applyFont="1" applyAlignment="1">
      <alignment horizontal="left" indent="1"/>
    </xf>
    <xf numFmtId="0" fontId="6" fillId="0" borderId="31" xfId="0" applyFont="1" applyBorder="1" applyAlignment="1">
      <alignment horizontal="left" indent="1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0" fontId="38" fillId="0" borderId="0" xfId="0" applyFont="1"/>
    <xf numFmtId="0" fontId="14" fillId="0" borderId="7" xfId="0" applyFont="1" applyBorder="1"/>
    <xf numFmtId="0" fontId="6" fillId="0" borderId="7" xfId="0" applyFont="1" applyBorder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8" fillId="0" borderId="7" xfId="0" applyFont="1" applyBorder="1" applyAlignment="1">
      <alignment horizontal="right"/>
    </xf>
    <xf numFmtId="0" fontId="6" fillId="2" borderId="30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6" fillId="0" borderId="14" xfId="0" applyFont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0" fontId="9" fillId="0" borderId="32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0" fontId="8" fillId="0" borderId="1" xfId="0" quotePrefix="1" applyFont="1" applyBorder="1" applyAlignment="1">
      <alignment horizontal="center"/>
    </xf>
    <xf numFmtId="0" fontId="8" fillId="0" borderId="31" xfId="0" applyFont="1" applyBorder="1"/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32" fillId="0" borderId="0" xfId="0" applyFont="1"/>
    <xf numFmtId="0" fontId="20" fillId="0" borderId="31" xfId="0" applyFont="1" applyBorder="1" applyAlignment="1">
      <alignment horizontal="left" indent="1"/>
    </xf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35" fillId="0" borderId="31" xfId="0" applyFont="1" applyBorder="1"/>
    <xf numFmtId="0" fontId="20" fillId="0" borderId="0" xfId="0" applyFont="1" applyAlignment="1">
      <alignment horizontal="left"/>
    </xf>
    <xf numFmtId="0" fontId="35" fillId="0" borderId="0" xfId="0" applyFont="1"/>
    <xf numFmtId="0" fontId="13" fillId="0" borderId="4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5" xfId="2" applyBorder="1" applyAlignment="1">
      <alignment vertical="top" wrapText="1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right" indent="1"/>
    </xf>
    <xf numFmtId="0" fontId="16" fillId="0" borderId="0" xfId="0" applyFont="1" applyAlignment="1">
      <alignment horizontal="left"/>
    </xf>
    <xf numFmtId="0" fontId="9" fillId="0" borderId="0" xfId="0" applyFont="1" applyAlignment="1">
      <alignment horizontal="left" indent="1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20" fillId="0" borderId="0" xfId="0" applyFont="1"/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39" fillId="0" borderId="0" xfId="0" applyFont="1"/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0" fontId="6" fillId="0" borderId="7" xfId="0" applyFont="1" applyBorder="1"/>
    <xf numFmtId="0" fontId="46" fillId="0" borderId="0" xfId="0" applyFont="1"/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8" fillId="0" borderId="2" xfId="0" quotePrefix="1" applyFont="1" applyBorder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8" fillId="0" borderId="3" xfId="0" quotePrefix="1" applyFont="1" applyBorder="1" applyAlignment="1">
      <alignment vertical="top" wrapText="1"/>
    </xf>
    <xf numFmtId="1" fontId="8" fillId="0" borderId="1" xfId="0" quotePrefix="1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14" fontId="8" fillId="0" borderId="1" xfId="0" quotePrefix="1" applyNumberFormat="1" applyFont="1" applyBorder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8" fillId="0" borderId="0" xfId="0" applyFont="1"/>
    <xf numFmtId="0" fontId="9" fillId="3" borderId="0" xfId="0" applyFont="1" applyFill="1" applyAlignment="1">
      <alignment horizontal="left"/>
    </xf>
    <xf numFmtId="0" fontId="8" fillId="0" borderId="31" xfId="0" applyFont="1" applyBorder="1" applyAlignment="1">
      <alignment horizontal="center"/>
    </xf>
    <xf numFmtId="0" fontId="34" fillId="0" borderId="0" xfId="0" applyFont="1" applyAlignment="1">
      <alignment wrapText="1"/>
    </xf>
    <xf numFmtId="0" fontId="6" fillId="0" borderId="0" xfId="0" applyFont="1" applyBorder="1" applyAlignment="1">
      <alignment horizontal="left" indent="1"/>
    </xf>
    <xf numFmtId="0" fontId="8" fillId="0" borderId="0" xfId="0" applyFont="1" applyFill="1" applyAlignment="1">
      <alignment horizontal="left" indent="1"/>
    </xf>
    <xf numFmtId="0" fontId="8" fillId="0" borderId="0" xfId="0" applyFont="1" applyFill="1"/>
    <xf numFmtId="0" fontId="14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22" fillId="0" borderId="0" xfId="0" applyFont="1" applyFill="1" applyAlignment="1">
      <alignment horizontal="left" indent="1"/>
    </xf>
    <xf numFmtId="0" fontId="6" fillId="0" borderId="0" xfId="0" applyFont="1" applyFill="1" applyAlignment="1">
      <alignment horizontal="left" inden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externalLink" Target="externalLinks/externalLink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6615F-9069-4813-A224-3B32BA42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4B4DA-BDFD-4593-BAE0-B3BCC2F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F2C1C-118F-4C05-BAB7-F1BDEDC3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94ECE-CB46-435B-A50B-1867D867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828CD-2170-421E-A024-AC5A919C7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DE67-EB07-4B07-8457-64CF0D35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0</xdr:row>
      <xdr:rowOff>0</xdr:rowOff>
    </xdr:from>
    <xdr:to>
      <xdr:col>11</xdr:col>
      <xdr:colOff>838200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DC44-416D-492F-9AFB-78784C24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93414B-F8FE-4FF8-9C4E-1388F4FFEE1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377B25A-B540-6767-C012-F35F87A3EBE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4B7A7DC-6C84-9664-3A28-E793E868839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3F5AC6B-B79E-47C3-805C-8EB2B1853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4AAB23-0956-30BD-DA9D-F62EC63C7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408CCA64-7EFA-E870-59D4-100C9A9B2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48A5FD-4E96-4988-B525-4C23127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FEE0AD-B7F5-4280-B605-7FA417E0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B7F-A8F9-490D-8C06-11D3BC5F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0BF4-DCDF-425A-B7F1-96B044E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2CEF2-711D-4732-8B7A-A64641B1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6350</xdr:rowOff>
    </xdr:from>
    <xdr:to>
      <xdr:col>11</xdr:col>
      <xdr:colOff>584200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134C-B4D0-4C57-B480-DE4BEFAC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19050</xdr:rowOff>
    </xdr:from>
    <xdr:to>
      <xdr:col>11</xdr:col>
      <xdr:colOff>425450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12700</xdr:rowOff>
    </xdr:from>
    <xdr:to>
      <xdr:col>11</xdr:col>
      <xdr:colOff>381000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12700</xdr:rowOff>
    </xdr:from>
    <xdr:to>
      <xdr:col>11</xdr:col>
      <xdr:colOff>368300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477E9-93F1-4490-8952-3B89CE15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AF4D0-74C5-4811-AC2D-92209CB6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E6D6F-AAD2-49A5-882C-7D457FD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54E30-BA27-40C3-AA78-99310EFC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C3EB-ED5E-447E-9EC6-8E40EA1E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7075E-B45C-41BD-A7E9-6D4A3114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585C4-2153-4260-991C-67043F6D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78E3-47D3-4501-A87E-F4E2617C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E5A1F-A7C0-4750-94AD-5FB99771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27D1-CDB5-4D9E-8302-7D42C396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FEC4B-4058-4633-A93F-A7717618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01919-3E06-4EDA-AC9C-68409C3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9B4E2-1202-44FB-9C97-26C77ECF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29CD-452E-4279-82EC-440AEC8C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5C6A1-5C5E-4EA1-810A-2C8A6808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DDFB9-0914-46BE-8EE8-74083CEA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E1179-15A4-4458-AAEE-72691CA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930-9F50-440D-A0B7-1491F265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6D429-7851-4009-A6A8-3FB50C41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E79E-1D99-4DBD-B177-A8F0F7C2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59A15-0FAD-40EE-B968-9D9A85AB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F8679-A107-412F-A432-FA7F9F2C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BA1B2-2900-4780-808E-9B477AA5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EC78E-0A8D-4291-8B01-63E5448A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14815-D43B-4CD3-A90B-D09153EB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84D49-92D2-4074-9447-D0A3DD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CCD8C-06D8-43F2-8496-E63026B3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6F2D-F933-4256-B5E3-74550732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CAC4D-CB0D-48D6-B90A-CBB9C55C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2E615-20DD-4241-913B-6C981B87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B2063-AD70-4008-B4D1-F67FBB1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8B572-AE47-456D-A529-27E90F61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32044-77D8-47DD-9A24-561F5741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5FF56-9D06-482A-850B-34677ED9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B4488-52F0-4DB9-8B62-499E04A8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BA115-B363-4ABE-90F1-423E939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043BE-D5E8-48F1-8713-69E3E6B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82F526-A387-428C-A70C-D2661349AA1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5A0F83E-6F9C-FD6A-9AEB-8409BF1ADFD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654780B2-F5F9-CEA6-8C40-A85378934ED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807A61B2-7B21-4A8D-D869-E84664588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808374B-432C-8639-9ED0-23C8A3959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B4AB04AD-E6CB-7EAE-0F0A-94FABDBF3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FD1448-4C59-4872-A336-5A20433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C5C0E2-16CF-42A5-8345-B1B7C70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5B9861-7D70-4E0B-9885-F6A330E0066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E04F58E-35EB-8EED-D7E2-43A82C9AE0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4D2448-3FA4-B066-63C3-586DD9C3A56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0AD5A544-937A-EE14-BBDE-9901E5D870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4957F0E-8660-4952-481C-4BFC15D85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AFB84BC-2A58-B1DE-5D84-A32033CEA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F81C-6EE5-4039-9A06-69185C7F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7E199B-15AF-45F2-8164-5AF4A351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DA5F2-241A-46A8-B272-E4D7CDA7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E4301-E2C0-4FC6-BA00-C09AB975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14E50-329B-4B3B-BFB7-1DB9FFDE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751D5-24EC-4963-A153-9DE12BDE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6E54-2297-4D1B-82EF-6E904512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5E439-69A2-4D28-9E19-DCD6BA36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488950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4930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D0DE-D920-4E72-872E-23C21B54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BB9CE-B845-4401-ACFA-CC0EE3AD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C91C-7673-4A48-97C9-8C36C1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D397B-F106-4020-A374-D6609637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158750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A648C-6ED8-4F7D-B7D5-24F628DE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C78A9-7920-4ED9-9B00-33B22AB4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6761B-60BF-4F67-AA2A-82FABB51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E9F0A-3F49-413B-8037-2C6EDB5A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8CFCE-9D52-4B4D-B252-460B8443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9BBBF-CAA0-4848-AFC5-662F98A6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7C1DF-FC68-445E-AACE-DFA516C4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7541-747A-4BE7-8547-D29F75FC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Y2024\Invoice%20(No%20GST)%20-%202024%20-%20Mandy.xlsx" TargetMode="External"/><Relationship Id="rId1" Type="http://schemas.openxmlformats.org/officeDocument/2006/relationships/externalLinkPath" Target="Invoice%20(No%20GST)%20-%202024%20-%20Mand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01 (2)"/>
      <sheetName val="顺兴 (S)"/>
      <sheetName val="顺兴 (Other)"/>
      <sheetName val="凉凉"/>
      <sheetName val="#01"/>
      <sheetName val="#03"/>
      <sheetName val="#05"/>
      <sheetName val="#06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2"/>
      <sheetName val="#25"/>
      <sheetName val="#27"/>
      <sheetName val="#28"/>
      <sheetName val="#32"/>
      <sheetName val="#35"/>
      <sheetName val="#36"/>
      <sheetName val="#37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3kg/ Bag包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M1015</v>
          </cell>
          <cell r="C24" t="str">
            <v>Chendol 浆咯 (陈顺美）</v>
          </cell>
          <cell r="D24" t="str">
            <v>Singapore</v>
          </cell>
          <cell r="E24" t="str">
            <v>TSM</v>
          </cell>
          <cell r="F24" t="str">
            <v>3 KGS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GW: 4kg/ Btl支</v>
          </cell>
        </row>
        <row r="26">
          <cell r="B26" t="str">
            <v>M1016A</v>
          </cell>
          <cell r="C26" t="str">
            <v>Coconut Sugar Syrup 椰糖浆</v>
          </cell>
          <cell r="D26" t="str">
            <v>Singapore</v>
          </cell>
          <cell r="E26" t="str">
            <v>DO!</v>
          </cell>
          <cell r="F26" t="str">
            <v>GW: 5kg/ Btl支</v>
          </cell>
        </row>
        <row r="27">
          <cell r="B27" t="str">
            <v>M1017</v>
          </cell>
          <cell r="C27" t="str">
            <v>Coconut Suger Syrup (Pandan) 椰糖浆(班兰)</v>
          </cell>
          <cell r="D27" t="str">
            <v>Singapore</v>
          </cell>
          <cell r="E27" t="str">
            <v>DO!</v>
          </cell>
          <cell r="F27" t="str">
            <v>4lt/ Btl支</v>
          </cell>
        </row>
        <row r="28">
          <cell r="B28" t="str">
            <v>M1018</v>
          </cell>
          <cell r="C28" t="str">
            <v>Pong Thai Hai (Wet) 碰大海(湿)</v>
          </cell>
          <cell r="D28" t="str">
            <v>China</v>
          </cell>
          <cell r="E28" t="str">
            <v>DO!</v>
          </cell>
          <cell r="F28" t="str">
            <v>1KG/ Pkt包</v>
          </cell>
        </row>
        <row r="29">
          <cell r="B29" t="str">
            <v>M1019</v>
          </cell>
          <cell r="C29" t="str">
            <v>Rice Ball (Pink - Peanut) 花生汤圆</v>
          </cell>
          <cell r="D29" t="str">
            <v>Singapore</v>
          </cell>
          <cell r="E29" t="str">
            <v>TYC</v>
          </cell>
          <cell r="F29" t="str">
            <v>15 PCS/ Pkt包</v>
          </cell>
        </row>
        <row r="30">
          <cell r="B30" t="str">
            <v>M1019A</v>
          </cell>
          <cell r="C30" t="str">
            <v>Rice Ball (Pink - Peanut) 花生汤圆</v>
          </cell>
          <cell r="D30" t="str">
            <v>Singapore</v>
          </cell>
          <cell r="E30" t="str">
            <v>TYC</v>
          </cell>
          <cell r="F30" t="str">
            <v>24X15/CARTON</v>
          </cell>
        </row>
        <row r="31">
          <cell r="B31" t="str">
            <v>M1020</v>
          </cell>
          <cell r="C31" t="str">
            <v>Rice Ball (BLACK SESAME) 芝麻汤圆</v>
          </cell>
          <cell r="D31" t="str">
            <v>Singapore</v>
          </cell>
          <cell r="E31" t="str">
            <v>TYC</v>
          </cell>
          <cell r="F31" t="str">
            <v>15 PCS/ Pkt包</v>
          </cell>
        </row>
        <row r="32">
          <cell r="B32" t="str">
            <v>M1021</v>
          </cell>
          <cell r="C32" t="str">
            <v>Rice Ball (Pink - Peanut) 花生汤圆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M1022</v>
          </cell>
          <cell r="C33" t="str">
            <v>Lemongrass Ginger Concentrate Juice 香茅姜汁</v>
          </cell>
          <cell r="D33" t="str">
            <v>Malaysia</v>
          </cell>
          <cell r="E33" t="str">
            <v>-</v>
          </cell>
          <cell r="F33" t="str">
            <v>80 GM/ Pkt包</v>
          </cell>
        </row>
        <row r="34">
          <cell r="B34" t="str">
            <v>M1023</v>
          </cell>
          <cell r="C34" t="str">
            <v>Passion Fruit Concentrate Juice 百香果汁</v>
          </cell>
          <cell r="D34" t="str">
            <v>Malaysia</v>
          </cell>
          <cell r="E34" t="str">
            <v>-</v>
          </cell>
          <cell r="F34" t="str">
            <v>80 GM/ Pkt包</v>
          </cell>
        </row>
        <row r="35">
          <cell r="B35" t="str">
            <v>M1023A</v>
          </cell>
          <cell r="C35" t="str">
            <v>Passion Fruit Concentrate Juice 百香果汁</v>
          </cell>
          <cell r="D35" t="str">
            <v>Malaysia</v>
          </cell>
          <cell r="E35" t="str">
            <v>-</v>
          </cell>
          <cell r="F35" t="str">
            <v>1 KG/ Pkt包</v>
          </cell>
        </row>
        <row r="36">
          <cell r="B36" t="str">
            <v>M1023B</v>
          </cell>
          <cell r="C36" t="str">
            <v>Passion Fruit Puree 百香果浆</v>
          </cell>
          <cell r="D36" t="str">
            <v>Malaysia</v>
          </cell>
          <cell r="E36" t="str">
            <v>-</v>
          </cell>
          <cell r="F36" t="str">
            <v>1 KG/ Box盒</v>
          </cell>
        </row>
        <row r="37">
          <cell r="B37" t="str">
            <v>M1024</v>
          </cell>
          <cell r="C37" t="str">
            <v>Citrus Plum Concentrate Juice 柑桔梅子汁</v>
          </cell>
          <cell r="D37" t="str">
            <v>Malaysia</v>
          </cell>
          <cell r="E37" t="str">
            <v>-</v>
          </cell>
          <cell r="F37" t="str">
            <v>80 GM/ Pkt包</v>
          </cell>
        </row>
        <row r="38">
          <cell r="B38" t="str">
            <v>M1024A</v>
          </cell>
          <cell r="C38" t="str">
            <v>Citrus Plum Concentrate Juice 柑桔梅子汁</v>
          </cell>
          <cell r="D38" t="str">
            <v>Malaysia</v>
          </cell>
          <cell r="E38" t="str">
            <v>-</v>
          </cell>
          <cell r="F38" t="str">
            <v>1 KG/ Pkt包</v>
          </cell>
        </row>
        <row r="39">
          <cell r="B39" t="str">
            <v>M1025</v>
          </cell>
          <cell r="C39" t="str">
            <v>Sweet Potato Q - Orange 番薯粉圆</v>
          </cell>
          <cell r="D39" t="str">
            <v>Singapore</v>
          </cell>
          <cell r="E39" t="str">
            <v>DO!</v>
          </cell>
          <cell r="F39" t="str">
            <v>700 GM/ Box盒</v>
          </cell>
        </row>
        <row r="40">
          <cell r="B40" t="str">
            <v>M1025A</v>
          </cell>
          <cell r="C40" t="str">
            <v>Mini Sweet Potato Q - Orange 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M1026</v>
          </cell>
          <cell r="C41" t="str">
            <v>Sweet Potato Q - Purple 紫番薯粉圆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M1026A</v>
          </cell>
          <cell r="C42" t="str">
            <v>Mini Sweet Potato Q - Purple 紫番薯粉圆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M1027</v>
          </cell>
          <cell r="C43" t="str">
            <v>Taro Q - White 芋头粉圆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M1027A</v>
          </cell>
          <cell r="C44" t="str">
            <v>Mini Taro Q - White 芋头粉圆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M1028</v>
          </cell>
          <cell r="C45" t="str">
            <v>Tapioca Q - Green 木薯粉圆</v>
          </cell>
          <cell r="D45" t="str">
            <v>Singapore</v>
          </cell>
          <cell r="E45" t="str">
            <v>DO!</v>
          </cell>
          <cell r="F45" t="str">
            <v>500 GM/ Bag包</v>
          </cell>
        </row>
        <row r="46">
          <cell r="B46" t="str">
            <v>M1029</v>
          </cell>
          <cell r="C46" t="str">
            <v>Grass Jelly 仙草冻</v>
          </cell>
          <cell r="D46" t="str">
            <v>Singapore</v>
          </cell>
          <cell r="E46" t="str">
            <v>DO!</v>
          </cell>
          <cell r="F46" t="str">
            <v>1 KG/ Box盒</v>
          </cell>
        </row>
        <row r="47">
          <cell r="B47" t="str">
            <v>M1030</v>
          </cell>
          <cell r="C47" t="str">
            <v>Red Bean Paste 红豆沙</v>
          </cell>
          <cell r="D47" t="str">
            <v>Singapore</v>
          </cell>
          <cell r="E47" t="str">
            <v>DO!</v>
          </cell>
          <cell r="F47" t="str">
            <v>1 KG/ Box盒</v>
          </cell>
        </row>
        <row r="48">
          <cell r="B48" t="str">
            <v>M1031</v>
          </cell>
          <cell r="C48" t="str">
            <v>Roselle Puree 洛神花浆</v>
          </cell>
          <cell r="D48" t="str">
            <v>Singapore</v>
          </cell>
          <cell r="E48" t="str">
            <v>DO!</v>
          </cell>
          <cell r="F48" t="str">
            <v>900 GM/ Box盒</v>
          </cell>
        </row>
        <row r="49">
          <cell r="B49" t="str">
            <v>M1032</v>
          </cell>
          <cell r="C49" t="str">
            <v>Pandan Bean Curd Jelly 班兰豆花冻</v>
          </cell>
          <cell r="D49" t="str">
            <v>Singapore</v>
          </cell>
          <cell r="E49" t="str">
            <v>DO!</v>
          </cell>
          <cell r="F49" t="str">
            <v>150 GM</v>
          </cell>
        </row>
        <row r="50">
          <cell r="B50" t="str">
            <v>M1032A</v>
          </cell>
          <cell r="C50" t="str">
            <v>Bean Curd Jelly 豆花冻</v>
          </cell>
          <cell r="D50" t="str">
            <v>Singapore</v>
          </cell>
          <cell r="E50" t="str">
            <v>DO!</v>
          </cell>
          <cell r="F50" t="str">
            <v>200 ml</v>
          </cell>
        </row>
        <row r="51">
          <cell r="B51" t="str">
            <v>M1033</v>
          </cell>
          <cell r="C51" t="str">
            <v>Red Tea Jelly 红茶冻</v>
          </cell>
          <cell r="D51" t="str">
            <v>Singapore</v>
          </cell>
          <cell r="E51" t="str">
            <v>DO!</v>
          </cell>
          <cell r="F51" t="str">
            <v>150 GM</v>
          </cell>
        </row>
        <row r="52">
          <cell r="B52" t="str">
            <v>M1033A</v>
          </cell>
          <cell r="C52" t="str">
            <v>Red Tea Jelly 红茶冻</v>
          </cell>
          <cell r="D52" t="str">
            <v>Singapore</v>
          </cell>
          <cell r="E52" t="str">
            <v>DO!</v>
          </cell>
          <cell r="F52" t="str">
            <v>1 KG</v>
          </cell>
        </row>
        <row r="53">
          <cell r="B53" t="str">
            <v>M1034</v>
          </cell>
          <cell r="C53" t="str">
            <v>FEN YUAN JELLY 粉圆冻</v>
          </cell>
          <cell r="D53" t="str">
            <v>Singapore</v>
          </cell>
          <cell r="E53" t="str">
            <v>DO!</v>
          </cell>
          <cell r="F53" t="str">
            <v>200 GM</v>
          </cell>
        </row>
        <row r="54">
          <cell r="B54" t="str">
            <v>M1035</v>
          </cell>
          <cell r="C54" t="str">
            <v>Osmanthus Jelly 枸杞桂花冻</v>
          </cell>
          <cell r="D54" t="str">
            <v>Singapore</v>
          </cell>
          <cell r="E54" t="str">
            <v>DO!</v>
          </cell>
          <cell r="F54" t="str">
            <v>150 GM</v>
          </cell>
        </row>
        <row r="55">
          <cell r="B55" t="str">
            <v>M1036</v>
          </cell>
          <cell r="C55" t="str">
            <v>Snow Ice - Milk 雪花冰-牛奶</v>
          </cell>
          <cell r="D55" t="str">
            <v>Malaysia</v>
          </cell>
          <cell r="E55" t="str">
            <v>T1</v>
          </cell>
          <cell r="F55" t="str">
            <v>2 KG/ Pkt包</v>
          </cell>
        </row>
        <row r="56">
          <cell r="B56" t="str">
            <v>M1036A</v>
          </cell>
          <cell r="C56" t="str">
            <v>Snow Ice - Chocolate 雪花冰-巧克力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M1036B</v>
          </cell>
          <cell r="C57" t="str">
            <v>Snow Ice - Mango 雪花冰-芒果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M1036C</v>
          </cell>
          <cell r="C58" t="str">
            <v>Snow Ice - Strawberry 雪花冰-草莓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M1036D</v>
          </cell>
          <cell r="C59" t="str">
            <v>Snow Ice - Durian 雪花冰-榴莲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M1036F</v>
          </cell>
          <cell r="C60" t="str">
            <v>Snow Ice - Matcha Green Tea 雪花冰-绿茶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M1037A</v>
          </cell>
          <cell r="C61" t="str">
            <v>Rock Sugar Syrup 冰糖浆</v>
          </cell>
          <cell r="D61" t="str">
            <v>Singapore</v>
          </cell>
          <cell r="E61" t="str">
            <v>DO!</v>
          </cell>
          <cell r="F61" t="str">
            <v>5 KG/bottle</v>
          </cell>
        </row>
        <row r="62">
          <cell r="B62" t="str">
            <v>M1038</v>
          </cell>
          <cell r="C62" t="str">
            <v>Agar Agar Red Jelly 菜燕冻红</v>
          </cell>
          <cell r="D62" t="str">
            <v>Singapore</v>
          </cell>
          <cell r="E62" t="str">
            <v>-</v>
          </cell>
          <cell r="F62" t="str">
            <v>900 GM</v>
          </cell>
        </row>
        <row r="63">
          <cell r="B63" t="str">
            <v>M1039</v>
          </cell>
          <cell r="C63" t="str">
            <v>Agar Agar Green Jelly 菜燕冻绿</v>
          </cell>
          <cell r="D63" t="str">
            <v>Singapore</v>
          </cell>
          <cell r="E63" t="str">
            <v>-</v>
          </cell>
          <cell r="F63" t="str">
            <v>900 GM</v>
          </cell>
        </row>
        <row r="64">
          <cell r="B64" t="str">
            <v>M1040</v>
          </cell>
          <cell r="C64" t="str">
            <v>Mini Colour Rice Ball 迷你七彩汤圆</v>
          </cell>
          <cell r="D64" t="str">
            <v>Singapore</v>
          </cell>
          <cell r="E64" t="str">
            <v>TYC</v>
          </cell>
          <cell r="F64" t="str">
            <v>300 GM</v>
          </cell>
        </row>
        <row r="65">
          <cell r="B65" t="str">
            <v>M1040A</v>
          </cell>
          <cell r="C65" t="str">
            <v>Mini Colour Rice Ball 迷你七彩汤圆</v>
          </cell>
          <cell r="D65" t="str">
            <v>Singapore</v>
          </cell>
          <cell r="E65" t="str">
            <v>TYC</v>
          </cell>
          <cell r="F65" t="str">
            <v>24 PKT/CARTON</v>
          </cell>
        </row>
        <row r="66">
          <cell r="B66" t="str">
            <v>M1041</v>
          </cell>
          <cell r="C66" t="str">
            <v>Honey Dew Puree-Yellow 蜜瓜浆-黄</v>
          </cell>
          <cell r="D66" t="str">
            <v>Singapore</v>
          </cell>
          <cell r="E66" t="str">
            <v>AD</v>
          </cell>
          <cell r="F66" t="str">
            <v>1 KG</v>
          </cell>
        </row>
        <row r="67">
          <cell r="B67" t="str">
            <v>M1042</v>
          </cell>
          <cell r="C67" t="str">
            <v>Split Green Mung Bean (Steamed)  豆爽 (蒸)</v>
          </cell>
          <cell r="D67" t="str">
            <v>Thailand</v>
          </cell>
          <cell r="E67" t="str">
            <v>DO!</v>
          </cell>
          <cell r="F67" t="str">
            <v>1 KG</v>
          </cell>
        </row>
        <row r="68">
          <cell r="B68" t="str">
            <v>M1043</v>
          </cell>
          <cell r="C68" t="str">
            <v>Mini Brown Sago 迷你黑珍珠</v>
          </cell>
          <cell r="D68" t="str">
            <v>-</v>
          </cell>
          <cell r="E68" t="str">
            <v>DO!</v>
          </cell>
          <cell r="F68" t="str">
            <v>1 KG</v>
          </cell>
        </row>
        <row r="69">
          <cell r="B69" t="str">
            <v>M1044</v>
          </cell>
          <cell r="C69" t="str">
            <v>Cooked Big Sago</v>
          </cell>
          <cell r="D69" t="str">
            <v>-</v>
          </cell>
          <cell r="E69" t="str">
            <v>DO!</v>
          </cell>
          <cell r="F69" t="str">
            <v>800 GM</v>
          </cell>
        </row>
        <row r="70">
          <cell r="B70" t="str">
            <v>M1045</v>
          </cell>
          <cell r="C70" t="str">
            <v>Fresh Pineapple Puree 凤梨果浆</v>
          </cell>
          <cell r="D70" t="str">
            <v>-</v>
          </cell>
          <cell r="E70" t="str">
            <v>DO!</v>
          </cell>
          <cell r="F70" t="str">
            <v>800 GM</v>
          </cell>
        </row>
        <row r="71">
          <cell r="B71" t="str">
            <v>M1046A</v>
          </cell>
          <cell r="C71" t="str">
            <v>BLACK SESAME PASTE 黑芝麻糊</v>
          </cell>
          <cell r="E71" t="str">
            <v>DO!</v>
          </cell>
          <cell r="F71" t="str">
            <v>800 GM/ Box</v>
          </cell>
        </row>
        <row r="72">
          <cell r="B72" t="str">
            <v>M1046B</v>
          </cell>
          <cell r="C72" t="str">
            <v>BLACK SESAME PASTE 黑芝麻糊</v>
          </cell>
          <cell r="E72" t="str">
            <v>DO!</v>
          </cell>
          <cell r="F72" t="str">
            <v>4 KGS/ Tub</v>
          </cell>
        </row>
        <row r="73">
          <cell r="B73" t="str">
            <v>P1001</v>
          </cell>
          <cell r="C73" t="str">
            <v>3Q Jelly</v>
          </cell>
          <cell r="D73" t="str">
            <v>Taiwan</v>
          </cell>
          <cell r="E73" t="str">
            <v>T1</v>
          </cell>
          <cell r="F73" t="str">
            <v>4 Kgs X 4 Tub/ Ctn</v>
          </cell>
        </row>
        <row r="74">
          <cell r="B74" t="str">
            <v>P1001A</v>
          </cell>
          <cell r="C74" t="str">
            <v>3Q Konjac Jelly</v>
          </cell>
          <cell r="D74" t="str">
            <v>Taiwan</v>
          </cell>
          <cell r="E74" t="str">
            <v>T1</v>
          </cell>
          <cell r="F74" t="str">
            <v>4 KGS/Tub</v>
          </cell>
        </row>
        <row r="75">
          <cell r="B75" t="str">
            <v>P1002</v>
          </cell>
          <cell r="C75" t="str">
            <v>Tadpole 蝌蚪</v>
          </cell>
          <cell r="D75" t="str">
            <v>Malaysia</v>
          </cell>
          <cell r="E75" t="str">
            <v>FJ</v>
          </cell>
          <cell r="F75" t="str">
            <v>1 kg/Bag</v>
          </cell>
        </row>
        <row r="76">
          <cell r="B76" t="str">
            <v>P1003</v>
          </cell>
          <cell r="C76" t="str">
            <v>Q Ball Q圆</v>
          </cell>
          <cell r="D76" t="str">
            <v>Malaysia</v>
          </cell>
          <cell r="E76" t="str">
            <v>FJ</v>
          </cell>
          <cell r="F76" t="str">
            <v>1 kg/Bag</v>
          </cell>
        </row>
        <row r="77">
          <cell r="B77" t="str">
            <v>P1004</v>
          </cell>
          <cell r="C77" t="str">
            <v>Honey Pearl - Black 蜜糖珍珠-黑</v>
          </cell>
          <cell r="D77" t="str">
            <v>Singapore</v>
          </cell>
          <cell r="E77" t="str">
            <v>-</v>
          </cell>
          <cell r="F77" t="str">
            <v>1 kg/Bag</v>
          </cell>
        </row>
        <row r="78">
          <cell r="B78" t="str">
            <v>P1005</v>
          </cell>
          <cell r="C78" t="str">
            <v>Honey Pearl - Golden 蜜糖珍珠-金</v>
          </cell>
          <cell r="D78" t="str">
            <v>Singapore</v>
          </cell>
          <cell r="E78" t="str">
            <v>AD</v>
          </cell>
          <cell r="F78" t="str">
            <v>1 kg/Bag</v>
          </cell>
        </row>
        <row r="79">
          <cell r="B79" t="str">
            <v>P1006</v>
          </cell>
          <cell r="C79" t="str">
            <v>Magic Pop Ball - Mango 芒果爆珠</v>
          </cell>
          <cell r="D79" t="str">
            <v>Taiwan</v>
          </cell>
          <cell r="E79" t="str">
            <v>-</v>
          </cell>
          <cell r="F79" t="str">
            <v>3.2 KG/TUB</v>
          </cell>
        </row>
        <row r="80">
          <cell r="B80" t="str">
            <v>P1006A</v>
          </cell>
          <cell r="C80" t="str">
            <v>Magic Pop Ball - Lychee 荔枝爆珠</v>
          </cell>
          <cell r="D80" t="str">
            <v>Taiwan</v>
          </cell>
          <cell r="E80" t="str">
            <v>-</v>
          </cell>
          <cell r="F80" t="str">
            <v>3.2 KG/TUB</v>
          </cell>
        </row>
        <row r="81">
          <cell r="B81" t="str">
            <v>P1006B</v>
          </cell>
          <cell r="C81" t="str">
            <v>Magic Pop Ball - Strawberry 草莓爆珠</v>
          </cell>
          <cell r="D81" t="str">
            <v>Taiwan</v>
          </cell>
          <cell r="E81" t="str">
            <v>-</v>
          </cell>
          <cell r="F81" t="str">
            <v>3.2 KG/TUB</v>
          </cell>
        </row>
        <row r="82">
          <cell r="B82" t="str">
            <v>P1006C</v>
          </cell>
          <cell r="C82" t="str">
            <v>Magic Pop Ball - Passion 百香果爆珠</v>
          </cell>
          <cell r="D82" t="str">
            <v>Taiwan</v>
          </cell>
          <cell r="E82" t="str">
            <v>-</v>
          </cell>
          <cell r="F82" t="str">
            <v>3.2 KG/TUB</v>
          </cell>
        </row>
        <row r="83">
          <cell r="B83" t="str">
            <v>P1006D</v>
          </cell>
          <cell r="C83" t="str">
            <v>Magic Pop Ball - Yogurt 酸奶爆珠</v>
          </cell>
          <cell r="D83" t="str">
            <v>Taiwan</v>
          </cell>
          <cell r="E83" t="str">
            <v>-</v>
          </cell>
          <cell r="F83" t="str">
            <v>3.2 KG/TUB</v>
          </cell>
        </row>
        <row r="84">
          <cell r="B84" t="str">
            <v>P1007</v>
          </cell>
          <cell r="C84" t="str">
            <v>Magic Pop Ball - Water Chestnut White 马蹄爆珠-白</v>
          </cell>
          <cell r="D84" t="str">
            <v>Taiwan</v>
          </cell>
          <cell r="E84" t="str">
            <v>-</v>
          </cell>
          <cell r="F84" t="str">
            <v>850G/CAN</v>
          </cell>
        </row>
        <row r="85">
          <cell r="B85" t="str">
            <v>P1007A</v>
          </cell>
          <cell r="C85" t="str">
            <v>Magic Pop Ball - Water Chestnut Red 马蹄爆珠-红</v>
          </cell>
          <cell r="D85" t="str">
            <v>Taiwan</v>
          </cell>
          <cell r="E85" t="str">
            <v>-</v>
          </cell>
          <cell r="F85" t="str">
            <v>850G/CAN</v>
          </cell>
        </row>
        <row r="86">
          <cell r="B86" t="str">
            <v>P1007B</v>
          </cell>
          <cell r="C86" t="str">
            <v>Magic Pop Ball - Red Bean 红豆爆珠</v>
          </cell>
          <cell r="D86" t="str">
            <v>Taiwan</v>
          </cell>
          <cell r="E86" t="str">
            <v>-</v>
          </cell>
          <cell r="F86" t="str">
            <v>850G/CAN</v>
          </cell>
        </row>
        <row r="87">
          <cell r="B87" t="str">
            <v>P1007C</v>
          </cell>
          <cell r="C87" t="str">
            <v>Magic Pop Ball - Barley 薏米爆珠</v>
          </cell>
          <cell r="D87" t="str">
            <v>Taiwan</v>
          </cell>
          <cell r="E87" t="str">
            <v>-</v>
          </cell>
          <cell r="F87" t="str">
            <v>850G/CAN</v>
          </cell>
        </row>
        <row r="88">
          <cell r="B88" t="str">
            <v>P1009</v>
          </cell>
          <cell r="C88" t="str">
            <v>Original Konjac Ball</v>
          </cell>
          <cell r="D88" t="str">
            <v>Taiwan</v>
          </cell>
          <cell r="E88" t="str">
            <v>-</v>
          </cell>
          <cell r="F88" t="str">
            <v>1 kg</v>
          </cell>
        </row>
        <row r="89">
          <cell r="B89" t="str">
            <v>P1010</v>
          </cell>
          <cell r="C89" t="str">
            <v>Black Sugar Konjac Ball</v>
          </cell>
          <cell r="D89" t="str">
            <v>Taiwan</v>
          </cell>
          <cell r="E89" t="str">
            <v>-</v>
          </cell>
          <cell r="F89" t="str">
            <v>1 kg</v>
          </cell>
        </row>
        <row r="90">
          <cell r="B90" t="str">
            <v>P2001</v>
          </cell>
          <cell r="C90" t="str">
            <v>Chin Chow powder 仙草粉</v>
          </cell>
          <cell r="D90" t="str">
            <v>China</v>
          </cell>
          <cell r="E90" t="str">
            <v>-</v>
          </cell>
          <cell r="F90" t="str">
            <v>500gm X 20Pkt/Ctn箱</v>
          </cell>
        </row>
        <row r="91">
          <cell r="B91" t="str">
            <v>P2001A</v>
          </cell>
          <cell r="C91" t="str">
            <v>Chin Chow powder 仙草粉</v>
          </cell>
          <cell r="D91" t="str">
            <v>China</v>
          </cell>
          <cell r="E91" t="str">
            <v>-</v>
          </cell>
          <cell r="F91" t="str">
            <v>2 kgs (20 X 100GM)</v>
          </cell>
        </row>
        <row r="92">
          <cell r="B92" t="str">
            <v>P2001B</v>
          </cell>
          <cell r="C92" t="str">
            <v>Chin Chow powder 仙草粉</v>
          </cell>
          <cell r="D92" t="str">
            <v>China</v>
          </cell>
          <cell r="E92" t="str">
            <v>-</v>
          </cell>
          <cell r="F92" t="str">
            <v>5 X 100 GM</v>
          </cell>
        </row>
        <row r="93">
          <cell r="B93" t="str">
            <v>P2002</v>
          </cell>
          <cell r="C93" t="str">
            <v>Jelly Powder 文头雪粉 (Carrageenan)</v>
          </cell>
          <cell r="E93" t="str">
            <v>500/4000</v>
          </cell>
          <cell r="F93" t="str">
            <v>1 kg</v>
          </cell>
        </row>
        <row r="94">
          <cell r="B94" t="str">
            <v>P2002A</v>
          </cell>
          <cell r="C94" t="str">
            <v>Jelly Powder 文头雪粉 (Carrageenan)</v>
          </cell>
          <cell r="D94" t="str">
            <v>Japan</v>
          </cell>
          <cell r="E94" t="str">
            <v>500/4000</v>
          </cell>
          <cell r="F94" t="str">
            <v>42gm x 10PKT/Bag</v>
          </cell>
        </row>
        <row r="95">
          <cell r="B95" t="str">
            <v>P2002B</v>
          </cell>
          <cell r="C95" t="str">
            <v>Almond Powder - 杏仁粉- Yellow- Jelly A</v>
          </cell>
          <cell r="D95" t="str">
            <v>Japan</v>
          </cell>
          <cell r="E95" t="str">
            <v>500/4000</v>
          </cell>
          <cell r="F95" t="str">
            <v>30gm/pkt x 10PKT</v>
          </cell>
        </row>
        <row r="96">
          <cell r="B96" t="str">
            <v>P2002C</v>
          </cell>
          <cell r="C96" t="str">
            <v>Jelly Powder 文头雪粉 (Carrageenan)</v>
          </cell>
          <cell r="D96" t="str">
            <v>Japan</v>
          </cell>
          <cell r="E96" t="str">
            <v>500/4000</v>
          </cell>
          <cell r="F96" t="str">
            <v>42gm</v>
          </cell>
        </row>
        <row r="97">
          <cell r="B97" t="str">
            <v>P2002D</v>
          </cell>
          <cell r="C97" t="str">
            <v>Jelly Powder 文头雪粉 (Carrageenan)</v>
          </cell>
          <cell r="D97" t="str">
            <v>Japan</v>
          </cell>
          <cell r="E97" t="str">
            <v>500/4000</v>
          </cell>
          <cell r="F97" t="str">
            <v>46gm/10 pkts</v>
          </cell>
        </row>
        <row r="98">
          <cell r="B98" t="str">
            <v>P2003</v>
          </cell>
          <cell r="C98" t="str">
            <v>Agar Powder 菜燕粉</v>
          </cell>
          <cell r="E98" t="str">
            <v>No 1</v>
          </cell>
          <cell r="F98" t="str">
            <v>1 kg</v>
          </cell>
        </row>
        <row r="99">
          <cell r="B99" t="str">
            <v>P2003A</v>
          </cell>
          <cell r="C99" t="str">
            <v>Agar Powder 菜燕粉</v>
          </cell>
          <cell r="D99" t="str">
            <v>Malaysia</v>
          </cell>
          <cell r="E99" t="str">
            <v>No 1</v>
          </cell>
          <cell r="F99" t="str">
            <v>43 gms x 10PKT/Bag</v>
          </cell>
        </row>
        <row r="100">
          <cell r="B100" t="str">
            <v>P2003B</v>
          </cell>
          <cell r="C100" t="str">
            <v>Agar Powder 菜燕粉</v>
          </cell>
          <cell r="E100" t="str">
            <v>No 1</v>
          </cell>
          <cell r="F100" t="str">
            <v>500 gm</v>
          </cell>
        </row>
        <row r="101">
          <cell r="B101" t="str">
            <v>P2004</v>
          </cell>
          <cell r="C101" t="str">
            <v>Agar Powder 菜燕粉</v>
          </cell>
          <cell r="D101" t="str">
            <v>Malaysia</v>
          </cell>
          <cell r="E101" t="str">
            <v>Rose</v>
          </cell>
          <cell r="F101" t="str">
            <v>20BOX/CARTON</v>
          </cell>
        </row>
        <row r="102">
          <cell r="B102" t="str">
            <v>P2004A</v>
          </cell>
          <cell r="C102" t="str">
            <v>Agar Powder 菜燕粉</v>
          </cell>
          <cell r="D102" t="str">
            <v>Malaysia</v>
          </cell>
          <cell r="E102" t="str">
            <v>Rose</v>
          </cell>
          <cell r="F102" t="str">
            <v>(12g x 12pkt)/盒</v>
          </cell>
        </row>
        <row r="103">
          <cell r="B103" t="str">
            <v>P2005</v>
          </cell>
          <cell r="C103" t="str">
            <v>Agar Strip 菜燕条</v>
          </cell>
          <cell r="D103" t="str">
            <v>China</v>
          </cell>
          <cell r="E103" t="str">
            <v>-</v>
          </cell>
          <cell r="F103" t="str">
            <v>1 kg</v>
          </cell>
        </row>
        <row r="104">
          <cell r="B104" t="str">
            <v>P2006</v>
          </cell>
          <cell r="C104" t="str">
            <v>Mango Pudding Power 芒果布丁</v>
          </cell>
          <cell r="D104" t="str">
            <v>Malaysia</v>
          </cell>
          <cell r="E104" t="str">
            <v>-</v>
          </cell>
          <cell r="F104" t="str">
            <v>1BAG (5PKT X 310G)</v>
          </cell>
        </row>
        <row r="105">
          <cell r="B105" t="str">
            <v>P2006A</v>
          </cell>
          <cell r="C105" t="str">
            <v>Mango Pudding Power 芒果布丁</v>
          </cell>
          <cell r="D105" t="str">
            <v>Malaysia</v>
          </cell>
          <cell r="E105" t="str">
            <v>-</v>
          </cell>
          <cell r="F105" t="str">
            <v>10PKT X 200 GM/BAG</v>
          </cell>
        </row>
        <row r="106">
          <cell r="B106" t="str">
            <v>P2006B</v>
          </cell>
          <cell r="C106" t="str">
            <v>Mango Pudding Power 芒果布丁</v>
          </cell>
          <cell r="D106" t="str">
            <v>Malaysia</v>
          </cell>
          <cell r="E106" t="str">
            <v>-</v>
          </cell>
          <cell r="F106" t="str">
            <v>200 GM</v>
          </cell>
        </row>
        <row r="107">
          <cell r="B107" t="str">
            <v>P2007</v>
          </cell>
          <cell r="C107" t="str">
            <v>Jelly Powder (杏仁粉)</v>
          </cell>
          <cell r="E107" t="str">
            <v>J-11008/5</v>
          </cell>
          <cell r="F107" t="str">
            <v>1 kg</v>
          </cell>
        </row>
        <row r="108">
          <cell r="B108" t="str">
            <v>P2007A</v>
          </cell>
          <cell r="C108" t="str">
            <v>Jelly Powder (杏仁粉)</v>
          </cell>
          <cell r="E108" t="str">
            <v>J-11008/5</v>
          </cell>
          <cell r="F108" t="str">
            <v>70 gms x 10pkt</v>
          </cell>
        </row>
        <row r="109">
          <cell r="B109" t="str">
            <v>P2007B</v>
          </cell>
          <cell r="C109" t="str">
            <v>Jelly Powder (杏仁粉)</v>
          </cell>
          <cell r="E109" t="str">
            <v>J-11008/5</v>
          </cell>
          <cell r="F109" t="str">
            <v>140 gms x 10 pkt</v>
          </cell>
        </row>
        <row r="110">
          <cell r="B110" t="str">
            <v>P2007C</v>
          </cell>
          <cell r="C110" t="str">
            <v>Jelly Powder (杏仁粉)</v>
          </cell>
          <cell r="E110" t="str">
            <v>J-11008/5</v>
          </cell>
          <cell r="F110" t="str">
            <v>35gms x 10 pkt</v>
          </cell>
        </row>
        <row r="111">
          <cell r="B111" t="str">
            <v>P2007D</v>
          </cell>
          <cell r="C111" t="str">
            <v>Bai Liang Fen 白凉粉</v>
          </cell>
          <cell r="E111" t="str">
            <v>J-11008/5</v>
          </cell>
          <cell r="F111" t="str">
            <v>1 kg</v>
          </cell>
        </row>
        <row r="112">
          <cell r="B112" t="str">
            <v>P2008</v>
          </cell>
          <cell r="C112" t="str">
            <v>Almond Power - Yellow 杏仁粉黄</v>
          </cell>
          <cell r="E112" t="str">
            <v>PH</v>
          </cell>
          <cell r="F112" t="str">
            <v>1 KG</v>
          </cell>
        </row>
        <row r="113">
          <cell r="B113" t="str">
            <v>P2008A</v>
          </cell>
          <cell r="C113" t="str">
            <v>Almond Power - Yellow 杏仁粉黄</v>
          </cell>
          <cell r="E113" t="str">
            <v>PH</v>
          </cell>
          <cell r="F113" t="str">
            <v>150gm x 10 pkt</v>
          </cell>
        </row>
        <row r="114">
          <cell r="B114" t="str">
            <v>P2008B</v>
          </cell>
          <cell r="C114" t="str">
            <v>Almond Power - Yellow 杏仁粉黄</v>
          </cell>
          <cell r="D114" t="str">
            <v>Malaysia</v>
          </cell>
          <cell r="E114" t="str">
            <v>PH</v>
          </cell>
          <cell r="F114" t="str">
            <v>150gm x 4pkt</v>
          </cell>
        </row>
        <row r="115">
          <cell r="B115" t="str">
            <v>P2008C</v>
          </cell>
          <cell r="C115" t="str">
            <v>Almond Power - Yellow 杏仁粉黄</v>
          </cell>
          <cell r="D115" t="str">
            <v>Malaysia</v>
          </cell>
          <cell r="E115" t="str">
            <v>PH</v>
          </cell>
          <cell r="F115" t="str">
            <v>150 GM</v>
          </cell>
        </row>
        <row r="116">
          <cell r="B116" t="str">
            <v>P2009</v>
          </cell>
          <cell r="C116" t="str">
            <v>Herbal Jelly Powder 龟苓膏粉</v>
          </cell>
          <cell r="E116" t="str">
            <v>-</v>
          </cell>
          <cell r="F116" t="str">
            <v>500 GM/BAG</v>
          </cell>
        </row>
        <row r="117">
          <cell r="B117" t="str">
            <v>P2010</v>
          </cell>
          <cell r="C117" t="str">
            <v>Nestle Coffeemate 咖啡奶粉</v>
          </cell>
          <cell r="E117" t="str">
            <v>NESTLE</v>
          </cell>
          <cell r="F117" t="str">
            <v>12 KGS/CARTON</v>
          </cell>
        </row>
        <row r="118">
          <cell r="B118" t="str">
            <v>P2010A</v>
          </cell>
          <cell r="C118" t="str">
            <v>Nestle Coffeemate 咖啡奶粉</v>
          </cell>
          <cell r="E118" t="str">
            <v>NESTLE</v>
          </cell>
          <cell r="F118" t="str">
            <v>1 KG/PKT</v>
          </cell>
        </row>
        <row r="119">
          <cell r="B119" t="str">
            <v>P2011</v>
          </cell>
          <cell r="C119" t="str">
            <v>Sweet Potato Powder 番薯粉</v>
          </cell>
          <cell r="D119" t="str">
            <v>China</v>
          </cell>
          <cell r="E119" t="str">
            <v>-</v>
          </cell>
          <cell r="F119" t="str">
            <v>25 KGS</v>
          </cell>
        </row>
        <row r="120">
          <cell r="B120" t="str">
            <v>P2011A</v>
          </cell>
          <cell r="C120" t="str">
            <v>Sweet Potato Powder 番薯粉</v>
          </cell>
          <cell r="D120" t="str">
            <v>China</v>
          </cell>
          <cell r="E120" t="str">
            <v>RE-PACK</v>
          </cell>
          <cell r="F120" t="str">
            <v>3 kgs</v>
          </cell>
        </row>
        <row r="121">
          <cell r="B121" t="str">
            <v>P2011B</v>
          </cell>
          <cell r="C121" t="str">
            <v>Sweet Potato Powder 番薯粉</v>
          </cell>
          <cell r="D121" t="str">
            <v>China</v>
          </cell>
          <cell r="E121" t="str">
            <v>RE-PACK</v>
          </cell>
          <cell r="F121" t="str">
            <v>500gm x 20包</v>
          </cell>
        </row>
        <row r="122">
          <cell r="B122" t="str">
            <v>P2011C</v>
          </cell>
          <cell r="C122" t="str">
            <v>Sweet Potato Powder 番薯粉</v>
          </cell>
          <cell r="D122" t="str">
            <v>China</v>
          </cell>
          <cell r="E122" t="str">
            <v>RE-PACK</v>
          </cell>
          <cell r="F122" t="str">
            <v>4 KGS</v>
          </cell>
        </row>
        <row r="123">
          <cell r="B123" t="str">
            <v>P2011D</v>
          </cell>
          <cell r="C123" t="str">
            <v>Sweet Potato Powder 番薯粉</v>
          </cell>
          <cell r="D123" t="str">
            <v>China</v>
          </cell>
          <cell r="E123" t="str">
            <v>RE-PACK</v>
          </cell>
          <cell r="F123" t="str">
            <v>1 kg</v>
          </cell>
        </row>
        <row r="124">
          <cell r="B124" t="str">
            <v>P2012</v>
          </cell>
          <cell r="C124" t="str">
            <v>Sweet Potato Powder 番薯粉</v>
          </cell>
          <cell r="D124" t="str">
            <v>Thailand</v>
          </cell>
          <cell r="E124" t="str">
            <v>Flying Man 飞人</v>
          </cell>
          <cell r="F124" t="str">
            <v>(500gm x 20Pkt)/ Ctn箱</v>
          </cell>
        </row>
        <row r="125">
          <cell r="B125" t="str">
            <v>P2012A</v>
          </cell>
          <cell r="C125" t="str">
            <v>Sweet Potato Powder 番薯粉</v>
          </cell>
          <cell r="D125" t="str">
            <v>Thailand</v>
          </cell>
          <cell r="E125" t="str">
            <v>Flying Man 飞人</v>
          </cell>
          <cell r="F125" t="str">
            <v>500 GMS</v>
          </cell>
        </row>
        <row r="126">
          <cell r="B126" t="str">
            <v>P2013</v>
          </cell>
          <cell r="C126" t="str">
            <v>Sweet Potato Powder 番薯粉</v>
          </cell>
          <cell r="D126" t="str">
            <v>Thailand</v>
          </cell>
          <cell r="E126" t="str">
            <v>KHS</v>
          </cell>
          <cell r="F126" t="str">
            <v>(500gm x 20Pkt) Ctn</v>
          </cell>
        </row>
        <row r="127">
          <cell r="B127" t="str">
            <v>P2014</v>
          </cell>
          <cell r="C127" t="str">
            <v>Green Mung Bean Starch (绿豆粉)</v>
          </cell>
          <cell r="D127" t="str">
            <v>China</v>
          </cell>
          <cell r="E127" t="str">
            <v>-</v>
          </cell>
          <cell r="F127" t="str">
            <v>25 kgs</v>
          </cell>
        </row>
        <row r="128">
          <cell r="B128" t="str">
            <v>P2014A</v>
          </cell>
          <cell r="C128" t="str">
            <v>Green Mung Bean Starch (绿豆粉)</v>
          </cell>
          <cell r="D128" t="str">
            <v>China</v>
          </cell>
          <cell r="E128" t="str">
            <v>-</v>
          </cell>
          <cell r="F128" t="str">
            <v>1 kg</v>
          </cell>
        </row>
        <row r="129">
          <cell r="B129" t="str">
            <v>P2015</v>
          </cell>
          <cell r="C129" t="str">
            <v>Tapioca Flour 茨粉</v>
          </cell>
          <cell r="D129" t="str">
            <v>Thailand</v>
          </cell>
          <cell r="E129" t="str">
            <v>F/MAN</v>
          </cell>
          <cell r="F129" t="str">
            <v>25 kgs</v>
          </cell>
        </row>
        <row r="130">
          <cell r="B130" t="str">
            <v>P2016</v>
          </cell>
          <cell r="C130" t="str">
            <v>Tapioca Flour 茨粉</v>
          </cell>
          <cell r="D130" t="str">
            <v>Thailand</v>
          </cell>
          <cell r="E130" t="str">
            <v>F/MAN</v>
          </cell>
          <cell r="F130" t="str">
            <v>500gm/pkt x 50</v>
          </cell>
        </row>
        <row r="131">
          <cell r="B131" t="str">
            <v>P2016A</v>
          </cell>
          <cell r="C131" t="str">
            <v>Tapioca Flour 茨粉</v>
          </cell>
          <cell r="D131" t="str">
            <v>Thailand</v>
          </cell>
          <cell r="E131" t="str">
            <v>F/MAN</v>
          </cell>
          <cell r="F131" t="str">
            <v>500gm/pkt</v>
          </cell>
        </row>
        <row r="132">
          <cell r="B132" t="str">
            <v>P2017</v>
          </cell>
          <cell r="C132" t="str">
            <v>Potato Starch 风车粉</v>
          </cell>
          <cell r="D132" t="str">
            <v>Thailand</v>
          </cell>
          <cell r="E132" t="str">
            <v>Windmill</v>
          </cell>
          <cell r="F132" t="str">
            <v>(350gm x 24Pkt)/Carton</v>
          </cell>
        </row>
        <row r="133">
          <cell r="B133" t="str">
            <v>P2018</v>
          </cell>
          <cell r="C133" t="str">
            <v>Potato Starch 风车粉</v>
          </cell>
          <cell r="D133" t="str">
            <v>Thailand</v>
          </cell>
          <cell r="E133" t="str">
            <v>Windmill</v>
          </cell>
          <cell r="F133" t="str">
            <v>5 kg</v>
          </cell>
        </row>
        <row r="134">
          <cell r="B134" t="str">
            <v>P2019</v>
          </cell>
          <cell r="C134" t="str">
            <v>Potato Starch 风车粉</v>
          </cell>
          <cell r="D134" t="str">
            <v>Thailand</v>
          </cell>
          <cell r="E134" t="str">
            <v>WORLDWIDE</v>
          </cell>
          <cell r="F134" t="str">
            <v>25 kg</v>
          </cell>
        </row>
        <row r="135">
          <cell r="B135" t="str">
            <v>P2019A</v>
          </cell>
          <cell r="C135" t="str">
            <v>Potato Starch 风车粉</v>
          </cell>
          <cell r="D135" t="str">
            <v>Thailand</v>
          </cell>
          <cell r="E135" t="str">
            <v>RE-PACK</v>
          </cell>
          <cell r="F135" t="str">
            <v>5 kg</v>
          </cell>
        </row>
        <row r="136">
          <cell r="B136" t="str">
            <v>P2019B</v>
          </cell>
          <cell r="C136" t="str">
            <v>Potato Starch 风车粉</v>
          </cell>
          <cell r="D136" t="str">
            <v>Thailand</v>
          </cell>
          <cell r="E136" t="str">
            <v>RE-PACK</v>
          </cell>
          <cell r="F136" t="str">
            <v>3 KG</v>
          </cell>
        </row>
        <row r="137">
          <cell r="B137" t="str">
            <v>P2019C</v>
          </cell>
          <cell r="C137" t="str">
            <v>Potato Starch 风车粉</v>
          </cell>
          <cell r="D137" t="str">
            <v>Thailand</v>
          </cell>
          <cell r="E137" t="str">
            <v>RE-PACK</v>
          </cell>
          <cell r="F137" t="str">
            <v>1 kg</v>
          </cell>
        </row>
        <row r="138">
          <cell r="B138" t="str">
            <v>P2020</v>
          </cell>
          <cell r="C138" t="str">
            <v>Wheat Starch 澄面粉</v>
          </cell>
          <cell r="F138" t="str">
            <v>25 kgs</v>
          </cell>
        </row>
        <row r="139">
          <cell r="B139" t="str">
            <v>P2020A</v>
          </cell>
          <cell r="C139" t="str">
            <v>Wheat Starch 澄面粉</v>
          </cell>
          <cell r="F139" t="str">
            <v>500 gm x 10</v>
          </cell>
        </row>
        <row r="140">
          <cell r="B140" t="str">
            <v>P2021</v>
          </cell>
          <cell r="C140" t="str">
            <v>SODA 苏打粉 (KEE)</v>
          </cell>
          <cell r="E140" t="str">
            <v>-</v>
          </cell>
          <cell r="F140" t="str">
            <v>1KG</v>
          </cell>
        </row>
        <row r="141">
          <cell r="B141" t="str">
            <v>P2022</v>
          </cell>
          <cell r="C141" t="str">
            <v>RICE FLOUR 粘米粉</v>
          </cell>
          <cell r="E141" t="str">
            <v>ERAWAN</v>
          </cell>
          <cell r="F141" t="str">
            <v>(600gm x 20Pkt)箱</v>
          </cell>
        </row>
        <row r="142">
          <cell r="B142" t="str">
            <v>P2023</v>
          </cell>
          <cell r="C142" t="str">
            <v>Glutinous Flour 糯米粉</v>
          </cell>
          <cell r="E142" t="str">
            <v>ERAWAN</v>
          </cell>
          <cell r="F142" t="str">
            <v>(600gm x 20Pkt)箱</v>
          </cell>
        </row>
        <row r="143">
          <cell r="B143" t="str">
            <v>P2023A</v>
          </cell>
          <cell r="C143" t="str">
            <v>Glutinous Flour 糯米粉</v>
          </cell>
          <cell r="E143" t="str">
            <v>ERAWAN</v>
          </cell>
          <cell r="F143" t="str">
            <v>600gm</v>
          </cell>
        </row>
        <row r="144">
          <cell r="B144" t="str">
            <v>P2024</v>
          </cell>
          <cell r="C144" t="str">
            <v>Red Tea Jelly Powder</v>
          </cell>
          <cell r="D144" t="str">
            <v>Taiwan</v>
          </cell>
          <cell r="E144" t="str">
            <v>-</v>
          </cell>
          <cell r="F144" t="str">
            <v>1 kg</v>
          </cell>
        </row>
        <row r="145">
          <cell r="B145" t="str">
            <v>P2025</v>
          </cell>
          <cell r="C145" t="str">
            <v>VANILLIN　班兰素</v>
          </cell>
          <cell r="D145" t="str">
            <v>China</v>
          </cell>
          <cell r="E145" t="str">
            <v>POLAR</v>
          </cell>
          <cell r="F145" t="str">
            <v>500 GMS/CAN</v>
          </cell>
        </row>
        <row r="148">
          <cell r="B148" t="str">
            <v>P2027</v>
          </cell>
          <cell r="C148" t="str">
            <v xml:space="preserve">PLAIN FLOUR 面粉 </v>
          </cell>
          <cell r="E148" t="str">
            <v>THREE EAGLE</v>
          </cell>
          <cell r="F148" t="str">
            <v>1KG X 10</v>
          </cell>
        </row>
        <row r="149">
          <cell r="B149" t="str">
            <v>P2027A</v>
          </cell>
          <cell r="C149" t="str">
            <v xml:space="preserve">PLAIN FLOUR 面粉 </v>
          </cell>
          <cell r="E149" t="str">
            <v>THREE EAGLE</v>
          </cell>
          <cell r="F149" t="str">
            <v>1 KG</v>
          </cell>
        </row>
        <row r="150">
          <cell r="B150" t="str">
            <v>P2028</v>
          </cell>
          <cell r="C150" t="str">
            <v>Green Tea Powder</v>
          </cell>
          <cell r="D150" t="str">
            <v>Taiwan</v>
          </cell>
          <cell r="E150" t="str">
            <v>TOP</v>
          </cell>
          <cell r="F150" t="str">
            <v>1 KG</v>
          </cell>
        </row>
        <row r="151">
          <cell r="B151" t="str">
            <v>P2029</v>
          </cell>
          <cell r="C151" t="str">
            <v>Jelly Powder T-80 (Bai Liang Fen)</v>
          </cell>
          <cell r="D151" t="str">
            <v>Taiwan</v>
          </cell>
          <cell r="E151" t="str">
            <v>-</v>
          </cell>
          <cell r="F151" t="str">
            <v>1 KG</v>
          </cell>
        </row>
        <row r="152">
          <cell r="B152" t="str">
            <v>P2030</v>
          </cell>
          <cell r="C152" t="str">
            <v>Wheat Flour</v>
          </cell>
          <cell r="D152" t="str">
            <v>-</v>
          </cell>
          <cell r="E152" t="str">
            <v>FISH BRAND</v>
          </cell>
          <cell r="F152" t="str">
            <v>25 KGS</v>
          </cell>
        </row>
        <row r="153">
          <cell r="B153" t="str">
            <v>P2031</v>
          </cell>
          <cell r="C153" t="str">
            <v>Cold Bean Curd Powder</v>
          </cell>
          <cell r="D153" t="str">
            <v>Taiwan</v>
          </cell>
          <cell r="E153" t="str">
            <v>TOP</v>
          </cell>
          <cell r="F153" t="str">
            <v>1 KG</v>
          </cell>
        </row>
        <row r="154">
          <cell r="B154" t="str">
            <v>P2032</v>
          </cell>
          <cell r="C154" t="str">
            <v>Mesona Liquid (Grass Jelly)</v>
          </cell>
          <cell r="D154" t="str">
            <v>Taiwan</v>
          </cell>
          <cell r="F154" t="str">
            <v>3 KGS/TIN</v>
          </cell>
        </row>
        <row r="155">
          <cell r="B155" t="str">
            <v>P2033</v>
          </cell>
          <cell r="C155" t="str">
            <v>Egg Pudding Powder</v>
          </cell>
          <cell r="D155" t="str">
            <v>Taiwan</v>
          </cell>
          <cell r="E155" t="str">
            <v>-</v>
          </cell>
          <cell r="F155" t="str">
            <v>1 KGS</v>
          </cell>
        </row>
        <row r="156">
          <cell r="B156" t="str">
            <v>P2034</v>
          </cell>
          <cell r="C156" t="str">
            <v>CORN FLOUR 玉蜀黍粉</v>
          </cell>
          <cell r="D156" t="str">
            <v>Thailand</v>
          </cell>
          <cell r="E156" t="str">
            <v>FLYING MAN</v>
          </cell>
          <cell r="F156" t="str">
            <v>400 GM</v>
          </cell>
        </row>
        <row r="157">
          <cell r="B157" t="str">
            <v>P2035</v>
          </cell>
          <cell r="C157" t="str">
            <v>CHEESE MOUSSE POWDER</v>
          </cell>
          <cell r="D157" t="str">
            <v>Taiwan</v>
          </cell>
          <cell r="E157" t="str">
            <v>-</v>
          </cell>
          <cell r="F157" t="str">
            <v>1 KG</v>
          </cell>
        </row>
        <row r="158">
          <cell r="B158" t="str">
            <v>P2038</v>
          </cell>
          <cell r="C158" t="str">
            <v xml:space="preserve">Bread Flour </v>
          </cell>
          <cell r="D158" t="str">
            <v>-</v>
          </cell>
          <cell r="E158" t="str">
            <v>Bakers 365</v>
          </cell>
          <cell r="F158" t="str">
            <v>(1kg x 10Pkt)/ctn箱</v>
          </cell>
        </row>
        <row r="159">
          <cell r="B159" t="str">
            <v>P3001</v>
          </cell>
          <cell r="C159" t="str">
            <v>Atap Seeds in Syrup 亚嗒子</v>
          </cell>
          <cell r="D159" t="str">
            <v>Indonesia</v>
          </cell>
          <cell r="E159" t="str">
            <v>2P</v>
          </cell>
          <cell r="F159" t="str">
            <v>20 kgs/桶</v>
          </cell>
        </row>
        <row r="160">
          <cell r="B160" t="str">
            <v>P3001A</v>
          </cell>
          <cell r="C160" t="str">
            <v>Atap Seeds in Syrup 亚嗒子</v>
          </cell>
          <cell r="D160" t="str">
            <v>Indonesia</v>
          </cell>
          <cell r="E160" t="str">
            <v>2P</v>
          </cell>
          <cell r="F160" t="str">
            <v>NW(2.1:0.9) 3kg/ Bag包</v>
          </cell>
        </row>
        <row r="161">
          <cell r="B161" t="str">
            <v>P3001B</v>
          </cell>
          <cell r="C161" t="str">
            <v>Atap Seeds in Syrup 亚嗒子</v>
          </cell>
          <cell r="D161" t="str">
            <v>Indonesia</v>
          </cell>
          <cell r="E161" t="str">
            <v>2P</v>
          </cell>
          <cell r="F161" t="str">
            <v>NW(1.6:0.6) 2.2kg/ Bag包</v>
          </cell>
        </row>
        <row r="162">
          <cell r="B162" t="str">
            <v>P3001C</v>
          </cell>
          <cell r="C162" t="str">
            <v>Atap Seeds in Syrup 亚嗒子</v>
          </cell>
          <cell r="D162" t="str">
            <v>Indonesia</v>
          </cell>
          <cell r="E162" t="str">
            <v>2P</v>
          </cell>
          <cell r="F162" t="str">
            <v>NET WT: 500 gms</v>
          </cell>
        </row>
        <row r="163">
          <cell r="B163" t="str">
            <v>P3002</v>
          </cell>
          <cell r="C163" t="str">
            <v>Chin Chow 仙草</v>
          </cell>
          <cell r="D163" t="str">
            <v>Singapore</v>
          </cell>
          <cell r="E163" t="str">
            <v>TSM</v>
          </cell>
          <cell r="F163" t="str">
            <v>4KGS/PKT</v>
          </cell>
        </row>
        <row r="164">
          <cell r="B164" t="str">
            <v>P3002A</v>
          </cell>
          <cell r="C164" t="str">
            <v>Chin Chow 仙草</v>
          </cell>
          <cell r="D164" t="str">
            <v>Singapore</v>
          </cell>
          <cell r="E164" t="str">
            <v>TSM</v>
          </cell>
          <cell r="F164" t="str">
            <v>1KG/PKT</v>
          </cell>
        </row>
        <row r="165">
          <cell r="B165" t="str">
            <v>P3003</v>
          </cell>
          <cell r="C165" t="str">
            <v>Selaseh (Basil Seed) 青蛙蛋</v>
          </cell>
          <cell r="D165" t="str">
            <v>Indonesia</v>
          </cell>
          <cell r="E165" t="str">
            <v>Tukhmaria</v>
          </cell>
          <cell r="F165" t="str">
            <v>500 GM</v>
          </cell>
        </row>
        <row r="166">
          <cell r="B166" t="str">
            <v>P3003A</v>
          </cell>
          <cell r="C166" t="str">
            <v>Selaseh (Basil Seed) 青蛙蛋</v>
          </cell>
          <cell r="D166" t="str">
            <v>Indonesia</v>
          </cell>
          <cell r="E166" t="str">
            <v>Tukhmaria</v>
          </cell>
          <cell r="F166" t="str">
            <v>1 kg</v>
          </cell>
        </row>
        <row r="167">
          <cell r="B167" t="str">
            <v>P3004</v>
          </cell>
          <cell r="C167" t="str">
            <v>GingKo Nut (Peel off) 白果仁</v>
          </cell>
          <cell r="D167" t="str">
            <v>China</v>
          </cell>
          <cell r="E167" t="str">
            <v>-</v>
          </cell>
          <cell r="F167" t="str">
            <v>500g x 24 pkt/箱</v>
          </cell>
        </row>
        <row r="168">
          <cell r="B168" t="str">
            <v>P3004A</v>
          </cell>
          <cell r="C168" t="str">
            <v>GingKo Nut (Peel off) 白果仁</v>
          </cell>
          <cell r="D168" t="str">
            <v>China</v>
          </cell>
          <cell r="E168" t="str">
            <v>-</v>
          </cell>
          <cell r="F168" t="str">
            <v>1 KG (500 GM X 2)</v>
          </cell>
        </row>
        <row r="169">
          <cell r="B169" t="str">
            <v>P3005</v>
          </cell>
          <cell r="C169" t="str">
            <v>Red Bean 红豆</v>
          </cell>
          <cell r="D169" t="str">
            <v>China</v>
          </cell>
          <cell r="E169" t="str">
            <v>-</v>
          </cell>
          <cell r="F169" t="str">
            <v>25 kgs</v>
          </cell>
        </row>
        <row r="170">
          <cell r="B170" t="str">
            <v>P3005A</v>
          </cell>
          <cell r="C170" t="str">
            <v>Red Bean 红豆</v>
          </cell>
          <cell r="D170" t="str">
            <v>China</v>
          </cell>
          <cell r="E170" t="str">
            <v>-</v>
          </cell>
          <cell r="F170" t="str">
            <v>5 kgs</v>
          </cell>
        </row>
        <row r="171">
          <cell r="B171" t="str">
            <v>P3005B</v>
          </cell>
          <cell r="C171" t="str">
            <v>Red Bean 红豆</v>
          </cell>
          <cell r="D171" t="str">
            <v>China</v>
          </cell>
          <cell r="E171" t="str">
            <v>-</v>
          </cell>
          <cell r="F171" t="str">
            <v>2 KGS</v>
          </cell>
        </row>
        <row r="172">
          <cell r="B172" t="str">
            <v>P3005C</v>
          </cell>
          <cell r="C172" t="str">
            <v>Red Bean 红豆</v>
          </cell>
          <cell r="D172" t="str">
            <v>China</v>
          </cell>
          <cell r="E172" t="str">
            <v>-</v>
          </cell>
          <cell r="F172" t="str">
            <v>3 kgs</v>
          </cell>
        </row>
        <row r="173">
          <cell r="B173" t="str">
            <v>P3005D</v>
          </cell>
          <cell r="C173" t="str">
            <v>Red Bean 红豆</v>
          </cell>
          <cell r="D173" t="str">
            <v>China</v>
          </cell>
          <cell r="E173" t="str">
            <v>-</v>
          </cell>
          <cell r="F173" t="str">
            <v>1 KGS</v>
          </cell>
        </row>
        <row r="174">
          <cell r="B174" t="str">
            <v>P3005E</v>
          </cell>
          <cell r="C174" t="str">
            <v>Red Bean 红豆</v>
          </cell>
          <cell r="D174" t="str">
            <v>China</v>
          </cell>
          <cell r="E174" t="str">
            <v>-</v>
          </cell>
          <cell r="F174" t="str">
            <v>2 KGS</v>
          </cell>
        </row>
        <row r="175">
          <cell r="B175" t="str">
            <v>P3005F</v>
          </cell>
          <cell r="C175" t="str">
            <v>Red Bean 红豆</v>
          </cell>
          <cell r="D175" t="str">
            <v>China</v>
          </cell>
          <cell r="E175" t="str">
            <v>-</v>
          </cell>
          <cell r="F175" t="str">
            <v>4 KGS</v>
          </cell>
        </row>
        <row r="176">
          <cell r="B176" t="str">
            <v>P3006</v>
          </cell>
          <cell r="C176" t="str">
            <v>Small Red Bean 小红豆</v>
          </cell>
          <cell r="D176" t="str">
            <v>China</v>
          </cell>
          <cell r="E176" t="str">
            <v>-</v>
          </cell>
          <cell r="F176" t="str">
            <v>25 kgs</v>
          </cell>
        </row>
        <row r="177">
          <cell r="B177" t="str">
            <v>P3006A</v>
          </cell>
          <cell r="C177" t="str">
            <v>Small Red Bean 小红豆</v>
          </cell>
          <cell r="D177" t="str">
            <v>China</v>
          </cell>
          <cell r="E177" t="str">
            <v>-</v>
          </cell>
          <cell r="F177" t="str">
            <v>5 kgs</v>
          </cell>
        </row>
        <row r="178">
          <cell r="B178" t="str">
            <v>P3006B</v>
          </cell>
          <cell r="C178" t="str">
            <v>Small Red Bean 小红豆</v>
          </cell>
          <cell r="D178" t="str">
            <v>China</v>
          </cell>
          <cell r="E178" t="str">
            <v>-</v>
          </cell>
          <cell r="F178" t="str">
            <v>2.5 KGS</v>
          </cell>
        </row>
        <row r="179">
          <cell r="B179" t="str">
            <v>P3006C</v>
          </cell>
          <cell r="C179" t="str">
            <v>Small Red Bean 小红豆</v>
          </cell>
          <cell r="D179" t="str">
            <v>China</v>
          </cell>
          <cell r="E179" t="str">
            <v>-</v>
          </cell>
          <cell r="F179" t="str">
            <v>1 KG</v>
          </cell>
        </row>
        <row r="180">
          <cell r="B180" t="str">
            <v>P3007</v>
          </cell>
          <cell r="C180" t="str">
            <v>Kidney Bean 大红豆 (美国）</v>
          </cell>
          <cell r="D180" t="str">
            <v>China</v>
          </cell>
          <cell r="E180" t="str">
            <v>-</v>
          </cell>
          <cell r="F180" t="str">
            <v>25 kgs</v>
          </cell>
        </row>
        <row r="181">
          <cell r="B181" t="str">
            <v>P3007A</v>
          </cell>
          <cell r="C181" t="str">
            <v>Kidney Bean 大红豆 (美国）</v>
          </cell>
          <cell r="D181" t="str">
            <v>China</v>
          </cell>
          <cell r="E181" t="str">
            <v>-</v>
          </cell>
          <cell r="F181" t="str">
            <v>5 kgs</v>
          </cell>
        </row>
        <row r="182">
          <cell r="B182" t="str">
            <v>P3007B</v>
          </cell>
        </row>
        <row r="183">
          <cell r="B183" t="str">
            <v>P3008</v>
          </cell>
          <cell r="C183" t="str">
            <v>Chia Tao 赤豆</v>
          </cell>
          <cell r="D183" t="str">
            <v>China</v>
          </cell>
          <cell r="E183" t="str">
            <v>-</v>
          </cell>
          <cell r="F183" t="str">
            <v>25 KGS</v>
          </cell>
        </row>
        <row r="184">
          <cell r="B184" t="str">
            <v>P3008A</v>
          </cell>
          <cell r="C184" t="str">
            <v>Chia Tao 赤豆</v>
          </cell>
          <cell r="D184" t="str">
            <v>China</v>
          </cell>
          <cell r="E184" t="str">
            <v>RE-PACK</v>
          </cell>
          <cell r="F184" t="str">
            <v>5 kgs</v>
          </cell>
        </row>
        <row r="185">
          <cell r="B185" t="str">
            <v>P3008B</v>
          </cell>
          <cell r="C185" t="str">
            <v>Chia Tao 赤豆</v>
          </cell>
          <cell r="D185" t="str">
            <v>China</v>
          </cell>
          <cell r="E185" t="str">
            <v>RE-PACK</v>
          </cell>
          <cell r="F185" t="str">
            <v>1 kg</v>
          </cell>
        </row>
        <row r="186">
          <cell r="B186" t="str">
            <v>P3009</v>
          </cell>
          <cell r="C186" t="str">
            <v>Green Bean 绿豆</v>
          </cell>
          <cell r="D186" t="str">
            <v>AUSTRALIA</v>
          </cell>
          <cell r="E186" t="str">
            <v>-</v>
          </cell>
          <cell r="F186" t="str">
            <v>25 kgs/bag</v>
          </cell>
        </row>
        <row r="187">
          <cell r="B187" t="str">
            <v>P3009A</v>
          </cell>
          <cell r="C187" t="str">
            <v>Green Bean 绿豆</v>
          </cell>
          <cell r="D187" t="str">
            <v>AUSTRALIA</v>
          </cell>
          <cell r="E187" t="str">
            <v>-</v>
          </cell>
          <cell r="F187" t="str">
            <v>5 KGS</v>
          </cell>
        </row>
        <row r="188">
          <cell r="B188" t="str">
            <v>P3009B</v>
          </cell>
          <cell r="C188" t="str">
            <v>Green Bean 绿豆</v>
          </cell>
          <cell r="D188" t="str">
            <v>AUSTRALIA</v>
          </cell>
          <cell r="E188" t="str">
            <v>-</v>
          </cell>
          <cell r="F188" t="str">
            <v>2 kgs</v>
          </cell>
        </row>
        <row r="189">
          <cell r="B189" t="str">
            <v>P3009C</v>
          </cell>
          <cell r="C189" t="str">
            <v>Green Bean 绿豆</v>
          </cell>
          <cell r="D189" t="str">
            <v>AUSTRALIA</v>
          </cell>
          <cell r="E189" t="str">
            <v>-</v>
          </cell>
          <cell r="F189" t="str">
            <v>1 KGS</v>
          </cell>
        </row>
        <row r="190">
          <cell r="B190" t="str">
            <v>P3009D</v>
          </cell>
          <cell r="C190" t="str">
            <v>Green Bean 绿豆</v>
          </cell>
          <cell r="D190" t="str">
            <v>AUSTRALIA</v>
          </cell>
          <cell r="E190" t="str">
            <v>-</v>
          </cell>
          <cell r="F190" t="str">
            <v>3 KGS</v>
          </cell>
        </row>
        <row r="191">
          <cell r="B191" t="str">
            <v>P3009E</v>
          </cell>
          <cell r="C191" t="str">
            <v>Green Bean 绿豆</v>
          </cell>
          <cell r="D191" t="str">
            <v>AUSTRALIA</v>
          </cell>
          <cell r="E191" t="str">
            <v>-</v>
          </cell>
          <cell r="F191" t="str">
            <v>4 KGS</v>
          </cell>
        </row>
        <row r="192">
          <cell r="B192" t="str">
            <v>P3010</v>
          </cell>
          <cell r="C192" t="str">
            <v>SOYABEAN</v>
          </cell>
          <cell r="D192" t="str">
            <v>China</v>
          </cell>
          <cell r="E192" t="str">
            <v>-</v>
          </cell>
          <cell r="F192" t="str">
            <v>300 GM</v>
          </cell>
        </row>
        <row r="193">
          <cell r="B193" t="str">
            <v>P3011</v>
          </cell>
          <cell r="C193" t="str">
            <v>BLACK BEAN</v>
          </cell>
          <cell r="D193" t="str">
            <v>China</v>
          </cell>
          <cell r="E193" t="str">
            <v>-</v>
          </cell>
          <cell r="F193" t="str">
            <v>500 GMS</v>
          </cell>
        </row>
        <row r="194">
          <cell r="B194" t="str">
            <v>P3012</v>
          </cell>
          <cell r="C194" t="str">
            <v>Split Green Mung Bean 豆爽</v>
          </cell>
          <cell r="D194" t="str">
            <v>Thailand</v>
          </cell>
          <cell r="E194" t="str">
            <v>SW</v>
          </cell>
          <cell r="F194" t="str">
            <v>30 kgs/bag</v>
          </cell>
        </row>
        <row r="195">
          <cell r="B195" t="str">
            <v>P3012A</v>
          </cell>
          <cell r="C195" t="str">
            <v>Split Green Mung Bean 豆爽</v>
          </cell>
          <cell r="D195" t="str">
            <v>Thailand</v>
          </cell>
          <cell r="E195" t="str">
            <v>SW</v>
          </cell>
          <cell r="F195" t="str">
            <v>5 KG</v>
          </cell>
        </row>
        <row r="196">
          <cell r="B196" t="str">
            <v>P3012B</v>
          </cell>
          <cell r="C196" t="str">
            <v>Split Green Mung Bean 豆爽</v>
          </cell>
          <cell r="D196" t="str">
            <v>Thailand</v>
          </cell>
          <cell r="E196" t="str">
            <v>SW</v>
          </cell>
          <cell r="F196" t="str">
            <v>2 KGS</v>
          </cell>
        </row>
        <row r="197">
          <cell r="B197" t="str">
            <v>P3012C</v>
          </cell>
          <cell r="C197" t="str">
            <v>Split Green Mung Bean 豆爽</v>
          </cell>
          <cell r="D197" t="str">
            <v>Thailand</v>
          </cell>
          <cell r="E197" t="str">
            <v>SW</v>
          </cell>
          <cell r="F197" t="str">
            <v>1 KG</v>
          </cell>
        </row>
        <row r="198">
          <cell r="B198" t="str">
            <v>P3012D</v>
          </cell>
          <cell r="C198" t="str">
            <v>Split Green Mung Bean 豆爽</v>
          </cell>
          <cell r="D198" t="str">
            <v>Thailand</v>
          </cell>
          <cell r="E198" t="str">
            <v>SW</v>
          </cell>
          <cell r="F198" t="str">
            <v>500 GM</v>
          </cell>
        </row>
        <row r="199">
          <cell r="B199" t="str">
            <v>P3012E</v>
          </cell>
          <cell r="C199" t="str">
            <v>Split Green Mung Bean 豆爽</v>
          </cell>
          <cell r="D199" t="str">
            <v>Thailand</v>
          </cell>
          <cell r="E199" t="str">
            <v>SW</v>
          </cell>
        </row>
        <row r="200">
          <cell r="B200" t="str">
            <v>P3013</v>
          </cell>
          <cell r="C200" t="str">
            <v>Black Glutinous Rice 黑糯米</v>
          </cell>
          <cell r="E200" t="str">
            <v>INDONESIA</v>
          </cell>
          <cell r="F200" t="str">
            <v>25 kgs/Bag</v>
          </cell>
        </row>
        <row r="201">
          <cell r="B201" t="str">
            <v>P3013A</v>
          </cell>
          <cell r="C201" t="str">
            <v>Black Glutinous Rice 黑糯米</v>
          </cell>
          <cell r="D201" t="str">
            <v>Indonesia</v>
          </cell>
          <cell r="E201" t="str">
            <v>-</v>
          </cell>
          <cell r="F201" t="str">
            <v>5 kgs</v>
          </cell>
        </row>
        <row r="202">
          <cell r="B202" t="str">
            <v>P3013B</v>
          </cell>
          <cell r="C202" t="str">
            <v>Black Glutinous Rice 黑糯米</v>
          </cell>
          <cell r="D202" t="str">
            <v>Indonesia</v>
          </cell>
          <cell r="E202" t="str">
            <v>-</v>
          </cell>
          <cell r="F202" t="str">
            <v>1 KG</v>
          </cell>
        </row>
        <row r="203">
          <cell r="B203" t="str">
            <v>P3013C</v>
          </cell>
          <cell r="C203" t="str">
            <v>Black Glutinous Rice 黑糯米</v>
          </cell>
          <cell r="D203" t="str">
            <v>Indonesia</v>
          </cell>
          <cell r="E203" t="str">
            <v>-</v>
          </cell>
          <cell r="F203" t="str">
            <v>500 GM</v>
          </cell>
        </row>
        <row r="204">
          <cell r="B204" t="str">
            <v>P3014</v>
          </cell>
          <cell r="C204" t="str">
            <v>White Glutinous Rice 白糯米</v>
          </cell>
          <cell r="E204" t="str">
            <v>Thai</v>
          </cell>
          <cell r="F204" t="str">
            <v>25 kgs/Bag</v>
          </cell>
        </row>
        <row r="205">
          <cell r="B205" t="str">
            <v>P3014A</v>
          </cell>
          <cell r="C205" t="str">
            <v>White Glutinous Rice 白糯米</v>
          </cell>
          <cell r="D205" t="str">
            <v>Vietnam</v>
          </cell>
          <cell r="E205" t="str">
            <v>-</v>
          </cell>
          <cell r="F205" t="str">
            <v>5 kgs</v>
          </cell>
        </row>
        <row r="206">
          <cell r="B206" t="str">
            <v>P3014B</v>
          </cell>
          <cell r="C206" t="str">
            <v>White Glutinous Rice 白糯米</v>
          </cell>
          <cell r="D206" t="str">
            <v>Vietnam</v>
          </cell>
          <cell r="E206" t="str">
            <v>-</v>
          </cell>
          <cell r="F206" t="str">
            <v>1 kg</v>
          </cell>
        </row>
        <row r="207">
          <cell r="B207" t="str">
            <v>P3014C</v>
          </cell>
          <cell r="C207" t="str">
            <v>White Glutinous Rice 白糯米</v>
          </cell>
          <cell r="D207" t="str">
            <v>Vietnam</v>
          </cell>
          <cell r="E207" t="str">
            <v>-</v>
          </cell>
          <cell r="F207" t="str">
            <v>500 GMS</v>
          </cell>
        </row>
        <row r="208">
          <cell r="B208" t="str">
            <v>P3015</v>
          </cell>
          <cell r="C208" t="str">
            <v>White Wheat 大麦</v>
          </cell>
          <cell r="D208" t="str">
            <v>Malaysia</v>
          </cell>
          <cell r="E208" t="str">
            <v>-</v>
          </cell>
          <cell r="F208" t="str">
            <v>10PKT/BAG</v>
          </cell>
        </row>
        <row r="209">
          <cell r="B209" t="str">
            <v>P3016</v>
          </cell>
          <cell r="C209" t="str">
            <v>Pearl Barley 薏米</v>
          </cell>
          <cell r="D209" t="str">
            <v>HOLLAND</v>
          </cell>
          <cell r="E209" t="str">
            <v>-</v>
          </cell>
          <cell r="F209" t="str">
            <v>25 kgs</v>
          </cell>
        </row>
        <row r="210">
          <cell r="B210" t="str">
            <v>P3016A</v>
          </cell>
          <cell r="C210" t="str">
            <v>Pearl Barley 薏米</v>
          </cell>
          <cell r="D210" t="str">
            <v>HOLLAND</v>
          </cell>
          <cell r="E210" t="str">
            <v>-</v>
          </cell>
          <cell r="F210" t="str">
            <v>5 kgs</v>
          </cell>
        </row>
        <row r="211">
          <cell r="B211" t="str">
            <v>P3016B</v>
          </cell>
          <cell r="C211" t="str">
            <v>Pearl Barley 薏米</v>
          </cell>
          <cell r="D211" t="str">
            <v>HOLLAND</v>
          </cell>
          <cell r="E211" t="str">
            <v>-</v>
          </cell>
          <cell r="F211" t="str">
            <v>1 kg</v>
          </cell>
        </row>
        <row r="212">
          <cell r="B212" t="str">
            <v>P3017</v>
          </cell>
          <cell r="C212" t="str">
            <v>Big Sago 大丸</v>
          </cell>
          <cell r="D212" t="str">
            <v>Thailand</v>
          </cell>
          <cell r="E212" t="str">
            <v>SW</v>
          </cell>
          <cell r="F212" t="str">
            <v>30 kgs/bag</v>
          </cell>
        </row>
        <row r="213">
          <cell r="B213" t="str">
            <v>P3017A</v>
          </cell>
          <cell r="C213" t="str">
            <v>Big Sago 大丸</v>
          </cell>
          <cell r="D213" t="str">
            <v>Thailand</v>
          </cell>
          <cell r="E213" t="str">
            <v>SW</v>
          </cell>
          <cell r="F213" t="str">
            <v>5 kgs</v>
          </cell>
        </row>
        <row r="214">
          <cell r="B214" t="str">
            <v>P3017B</v>
          </cell>
          <cell r="C214" t="str">
            <v>Big Sago 大丸</v>
          </cell>
          <cell r="D214" t="str">
            <v>Thailand</v>
          </cell>
          <cell r="E214" t="str">
            <v>SW</v>
          </cell>
          <cell r="F214" t="str">
            <v>1 kg</v>
          </cell>
        </row>
        <row r="215">
          <cell r="B215" t="str">
            <v>P3017C</v>
          </cell>
          <cell r="C215" t="str">
            <v>Big Sago 大丸</v>
          </cell>
          <cell r="D215" t="str">
            <v>Thailand</v>
          </cell>
          <cell r="E215" t="str">
            <v>SW</v>
          </cell>
          <cell r="F215" t="str">
            <v>2.5 KGS</v>
          </cell>
        </row>
        <row r="216">
          <cell r="B216" t="str">
            <v>P3017D</v>
          </cell>
          <cell r="C216" t="str">
            <v>Big Sago 大丸</v>
          </cell>
          <cell r="D216" t="str">
            <v>Thailand</v>
          </cell>
          <cell r="E216" t="str">
            <v>SW</v>
          </cell>
          <cell r="F216" t="str">
            <v>1.5 KGS</v>
          </cell>
        </row>
        <row r="217">
          <cell r="B217" t="str">
            <v>P3018</v>
          </cell>
          <cell r="C217" t="str">
            <v>Small Sago 小丸</v>
          </cell>
          <cell r="D217" t="str">
            <v>Thailand</v>
          </cell>
          <cell r="E217" t="str">
            <v>SW</v>
          </cell>
          <cell r="F217" t="str">
            <v>30 kgs/bag</v>
          </cell>
        </row>
        <row r="218">
          <cell r="B218" t="str">
            <v>P3018A</v>
          </cell>
          <cell r="C218" t="str">
            <v>Small Sago 小丸</v>
          </cell>
          <cell r="D218" t="str">
            <v>Thailand</v>
          </cell>
          <cell r="E218" t="str">
            <v>SW</v>
          </cell>
          <cell r="F218" t="str">
            <v>5 kgs</v>
          </cell>
        </row>
        <row r="219">
          <cell r="B219" t="str">
            <v>P3018B</v>
          </cell>
          <cell r="C219" t="str">
            <v>Small Sago 小丸</v>
          </cell>
          <cell r="D219" t="str">
            <v>Thailand</v>
          </cell>
          <cell r="E219" t="str">
            <v>SW</v>
          </cell>
          <cell r="F219" t="str">
            <v>1 kg</v>
          </cell>
        </row>
        <row r="220">
          <cell r="B220" t="str">
            <v>P3019</v>
          </cell>
          <cell r="C220" t="str">
            <v>Dried Longan 龙眼干</v>
          </cell>
          <cell r="D220" t="str">
            <v>Thailand</v>
          </cell>
          <cell r="E220" t="str">
            <v>AAA</v>
          </cell>
          <cell r="F220" t="str">
            <v>15 KGS/CTN</v>
          </cell>
        </row>
        <row r="221">
          <cell r="B221" t="str">
            <v>P3019A</v>
          </cell>
          <cell r="C221" t="str">
            <v>Dried Longan 龙眼干</v>
          </cell>
          <cell r="D221" t="str">
            <v>Thailand</v>
          </cell>
          <cell r="E221" t="str">
            <v>AAA</v>
          </cell>
          <cell r="F221" t="str">
            <v>1 kg</v>
          </cell>
        </row>
        <row r="222">
          <cell r="B222" t="str">
            <v>P3020</v>
          </cell>
          <cell r="C222" t="str">
            <v>Dried Longan 龙眼干</v>
          </cell>
          <cell r="D222" t="str">
            <v>China</v>
          </cell>
          <cell r="E222" t="str">
            <v>中</v>
          </cell>
          <cell r="F222" t="str">
            <v>10 KGS/CTN</v>
          </cell>
        </row>
        <row r="223">
          <cell r="B223" t="str">
            <v>P3020A</v>
          </cell>
          <cell r="C223" t="str">
            <v>Dried Longan 龙眼干</v>
          </cell>
          <cell r="D223" t="str">
            <v>China</v>
          </cell>
          <cell r="E223" t="str">
            <v>中</v>
          </cell>
          <cell r="F223" t="str">
            <v>1 kg</v>
          </cell>
        </row>
        <row r="224">
          <cell r="B224" t="str">
            <v>P3021</v>
          </cell>
          <cell r="C224" t="str">
            <v>Fungus 黄木耳</v>
          </cell>
          <cell r="D224" t="str">
            <v>China</v>
          </cell>
          <cell r="E224" t="str">
            <v>黄</v>
          </cell>
          <cell r="F224" t="str">
            <v>1 kg</v>
          </cell>
        </row>
        <row r="226">
          <cell r="B226" t="str">
            <v>P3023</v>
          </cell>
          <cell r="C226" t="str">
            <v>Fungus 黄 木耳朵</v>
          </cell>
          <cell r="D226" t="str">
            <v>China</v>
          </cell>
          <cell r="E226" t="str">
            <v>黄</v>
          </cell>
          <cell r="F226" t="str">
            <v>1 kg</v>
          </cell>
        </row>
        <row r="227">
          <cell r="B227" t="str">
            <v>P3024</v>
          </cell>
          <cell r="C227" t="str">
            <v>Lotus Seed 莲子(无）</v>
          </cell>
          <cell r="D227" t="str">
            <v>China</v>
          </cell>
          <cell r="E227" t="str">
            <v>Fujian</v>
          </cell>
          <cell r="F227" t="str">
            <v>1 kg</v>
          </cell>
        </row>
        <row r="228">
          <cell r="B228" t="str">
            <v>P3024A</v>
          </cell>
          <cell r="C228" t="str">
            <v>Lotus Seed 莲子(无）</v>
          </cell>
          <cell r="D228" t="str">
            <v>China</v>
          </cell>
          <cell r="E228" t="str">
            <v>Fujian</v>
          </cell>
          <cell r="F228" t="str">
            <v>100 GMS</v>
          </cell>
        </row>
        <row r="229">
          <cell r="B229" t="str">
            <v>P3025</v>
          </cell>
          <cell r="C229" t="str">
            <v>Red Date 红枣</v>
          </cell>
          <cell r="D229" t="str">
            <v>China</v>
          </cell>
          <cell r="E229" t="str">
            <v>-</v>
          </cell>
          <cell r="F229" t="str">
            <v>1 kg</v>
          </cell>
        </row>
        <row r="230">
          <cell r="B230" t="str">
            <v>P3025A</v>
          </cell>
          <cell r="C230" t="str">
            <v>Red Date 红枣</v>
          </cell>
          <cell r="D230" t="str">
            <v>China</v>
          </cell>
          <cell r="E230" t="str">
            <v>-</v>
          </cell>
          <cell r="F230" t="str">
            <v>100 GMS</v>
          </cell>
        </row>
        <row r="232">
          <cell r="B232" t="str">
            <v>P3026</v>
          </cell>
          <cell r="C232" t="str">
            <v>Dried Persimmon 柿子</v>
          </cell>
          <cell r="D232" t="str">
            <v>China</v>
          </cell>
          <cell r="E232" t="str">
            <v>AA</v>
          </cell>
          <cell r="F232" t="str">
            <v>800 GMS</v>
          </cell>
        </row>
        <row r="233">
          <cell r="B233" t="str">
            <v>P3027</v>
          </cell>
          <cell r="C233" t="str">
            <v>GingKo Nut 白果粒</v>
          </cell>
          <cell r="D233" t="str">
            <v>China</v>
          </cell>
          <cell r="E233" t="str">
            <v>-</v>
          </cell>
          <cell r="F233" t="str">
            <v>5 kgs</v>
          </cell>
        </row>
        <row r="234">
          <cell r="B234" t="str">
            <v>P3027A</v>
          </cell>
          <cell r="C234" t="str">
            <v>GingKo Nut 白果粒</v>
          </cell>
          <cell r="D234" t="str">
            <v>China</v>
          </cell>
          <cell r="E234" t="str">
            <v>-</v>
          </cell>
          <cell r="F234" t="str">
            <v>2 KGS</v>
          </cell>
        </row>
        <row r="235">
          <cell r="B235" t="str">
            <v>P3027B</v>
          </cell>
          <cell r="C235" t="str">
            <v>GingKo Nut 白果粒</v>
          </cell>
          <cell r="D235" t="str">
            <v>China</v>
          </cell>
          <cell r="E235" t="str">
            <v>-</v>
          </cell>
          <cell r="F235" t="str">
            <v>1 KG</v>
          </cell>
        </row>
        <row r="236">
          <cell r="B236" t="str">
            <v>P3028</v>
          </cell>
          <cell r="C236" t="str">
            <v>Chrysanthemum 菊花</v>
          </cell>
          <cell r="D236" t="str">
            <v>China</v>
          </cell>
          <cell r="F236" t="str">
            <v>1kg</v>
          </cell>
        </row>
        <row r="237">
          <cell r="B237" t="str">
            <v>P3029</v>
          </cell>
          <cell r="C237" t="str">
            <v>Pong Thai Hai (Dry) 碰大海</v>
          </cell>
          <cell r="D237" t="str">
            <v>China</v>
          </cell>
          <cell r="E237" t="str">
            <v>-</v>
          </cell>
          <cell r="F237" t="str">
            <v>1 kg</v>
          </cell>
        </row>
        <row r="238">
          <cell r="B238" t="str">
            <v>P3030</v>
          </cell>
          <cell r="C238" t="str">
            <v>Bean Curd Sheet 腐竹</v>
          </cell>
          <cell r="D238" t="str">
            <v>China</v>
          </cell>
          <cell r="E238" t="str">
            <v>丰</v>
          </cell>
          <cell r="F238" t="str">
            <v>150g X 60 PKT</v>
          </cell>
        </row>
        <row r="239">
          <cell r="B239" t="str">
            <v>P3030A</v>
          </cell>
          <cell r="C239" t="str">
            <v>Bean Curd Sheet 腐竹</v>
          </cell>
          <cell r="D239" t="str">
            <v>China</v>
          </cell>
          <cell r="E239" t="str">
            <v>丰</v>
          </cell>
          <cell r="F239" t="str">
            <v>150g/pkt</v>
          </cell>
        </row>
        <row r="240">
          <cell r="B240" t="str">
            <v>P3030B</v>
          </cell>
          <cell r="C240" t="str">
            <v>Bean Curd Sheet 腐竹</v>
          </cell>
          <cell r="D240" t="str">
            <v>China</v>
          </cell>
          <cell r="F240" t="str">
            <v>170 GM</v>
          </cell>
        </row>
        <row r="241">
          <cell r="B241" t="str">
            <v>P3031</v>
          </cell>
          <cell r="C241" t="str">
            <v>Bean Curd Sheet 腐竹</v>
          </cell>
          <cell r="D241" t="str">
            <v>China</v>
          </cell>
          <cell r="E241" t="str">
            <v>生记</v>
          </cell>
          <cell r="F241" t="str">
            <v>150g X 40 PKT</v>
          </cell>
        </row>
        <row r="242">
          <cell r="B242" t="str">
            <v>P3031A</v>
          </cell>
          <cell r="C242" t="str">
            <v>Bean Curd Sheet 腐竹</v>
          </cell>
          <cell r="D242" t="str">
            <v>China</v>
          </cell>
          <cell r="E242" t="str">
            <v>生记</v>
          </cell>
          <cell r="F242" t="str">
            <v>150G/PKT</v>
          </cell>
        </row>
        <row r="243">
          <cell r="B243" t="str">
            <v>P3032</v>
          </cell>
          <cell r="C243" t="str">
            <v>Sweeten Melon Strip 冬瓜条</v>
          </cell>
          <cell r="D243" t="str">
            <v>Malaysia</v>
          </cell>
          <cell r="E243" t="str">
            <v>Rabbit Brand</v>
          </cell>
          <cell r="F243" t="str">
            <v>3KGS X 10PKT</v>
          </cell>
        </row>
        <row r="244">
          <cell r="B244" t="str">
            <v>P3032A</v>
          </cell>
          <cell r="C244" t="str">
            <v>Sweeten Melon Strip 冬瓜条</v>
          </cell>
          <cell r="D244" t="str">
            <v>Malaysia</v>
          </cell>
          <cell r="E244" t="str">
            <v>Rabbit Brand</v>
          </cell>
          <cell r="F244" t="str">
            <v>3KGS/PKT</v>
          </cell>
        </row>
        <row r="245">
          <cell r="B245" t="str">
            <v>P3032B</v>
          </cell>
          <cell r="C245" t="str">
            <v>Sweeten Melon Cube 冬瓜粒</v>
          </cell>
          <cell r="D245" t="str">
            <v>Malaysia</v>
          </cell>
          <cell r="E245" t="str">
            <v>Rabbit Brand</v>
          </cell>
          <cell r="F245" t="str">
            <v>3KGS/PKT</v>
          </cell>
        </row>
        <row r="246">
          <cell r="B246" t="str">
            <v>P3033</v>
          </cell>
          <cell r="C246" t="str">
            <v>Wolfberry 枸杞子</v>
          </cell>
          <cell r="D246" t="str">
            <v>China</v>
          </cell>
          <cell r="E246" t="str">
            <v>-</v>
          </cell>
          <cell r="F246" t="str">
            <v>1 kg</v>
          </cell>
        </row>
        <row r="247">
          <cell r="B247" t="str">
            <v>P3033A</v>
          </cell>
          <cell r="C247" t="str">
            <v>Wolfberry 枸杞子</v>
          </cell>
          <cell r="D247" t="str">
            <v>China</v>
          </cell>
          <cell r="E247" t="str">
            <v>-</v>
          </cell>
          <cell r="F247" t="str">
            <v>500 GM</v>
          </cell>
        </row>
        <row r="248">
          <cell r="B248" t="str">
            <v>P3034</v>
          </cell>
          <cell r="C248" t="str">
            <v>Peanut 花生</v>
          </cell>
          <cell r="D248" t="str">
            <v>China</v>
          </cell>
          <cell r="F248" t="str">
            <v>12.5KGx 2PKT</v>
          </cell>
        </row>
        <row r="249">
          <cell r="B249" t="str">
            <v>P3034A</v>
          </cell>
          <cell r="C249" t="str">
            <v>Peanut 花生</v>
          </cell>
          <cell r="D249" t="str">
            <v>China</v>
          </cell>
          <cell r="E249" t="str">
            <v>-</v>
          </cell>
          <cell r="F249" t="str">
            <v>12.5 kgs</v>
          </cell>
        </row>
        <row r="250">
          <cell r="B250" t="str">
            <v>P3034B</v>
          </cell>
          <cell r="C250" t="str">
            <v>Groundnut Dice Peanut 花生碎</v>
          </cell>
          <cell r="D250" t="str">
            <v>China</v>
          </cell>
          <cell r="E250" t="str">
            <v>-</v>
          </cell>
          <cell r="F250" t="str">
            <v>1 KG</v>
          </cell>
        </row>
        <row r="251">
          <cell r="B251" t="str">
            <v>P3034C</v>
          </cell>
          <cell r="C251" t="str">
            <v>Peanut 花生</v>
          </cell>
          <cell r="D251" t="str">
            <v>China</v>
          </cell>
          <cell r="E251" t="str">
            <v>-</v>
          </cell>
          <cell r="F251" t="str">
            <v>1 KG</v>
          </cell>
        </row>
        <row r="252">
          <cell r="B252" t="str">
            <v>P3035</v>
          </cell>
          <cell r="C252" t="str">
            <v>Orange Peel 陈皮</v>
          </cell>
          <cell r="D252" t="str">
            <v>China</v>
          </cell>
          <cell r="E252" t="str">
            <v>-</v>
          </cell>
          <cell r="F252" t="str">
            <v>1 kg</v>
          </cell>
        </row>
        <row r="253">
          <cell r="B253" t="str">
            <v>P3035A</v>
          </cell>
          <cell r="C253" t="str">
            <v>Orange Peel 陈皮</v>
          </cell>
          <cell r="D253" t="str">
            <v>China</v>
          </cell>
          <cell r="E253" t="str">
            <v>-</v>
          </cell>
          <cell r="F253" t="str">
            <v>200 GMS</v>
          </cell>
        </row>
        <row r="254">
          <cell r="B254" t="str">
            <v>P3036</v>
          </cell>
          <cell r="C254" t="str">
            <v>Coco Syrup 可可糖浆</v>
          </cell>
          <cell r="E254" t="str">
            <v>Hershey's</v>
          </cell>
          <cell r="F254" t="str">
            <v>1 Btl</v>
          </cell>
        </row>
        <row r="255">
          <cell r="B255" t="str">
            <v>P3037</v>
          </cell>
          <cell r="C255" t="str">
            <v>Honey Pearl - Black 蜜糖珍珠</v>
          </cell>
          <cell r="D255" t="str">
            <v>Taiwan</v>
          </cell>
          <cell r="E255" t="str">
            <v>9 MM</v>
          </cell>
          <cell r="F255" t="str">
            <v>3 kgs</v>
          </cell>
        </row>
        <row r="256">
          <cell r="B256" t="str">
            <v>P3037A</v>
          </cell>
          <cell r="C256" t="str">
            <v>Honey Pearl - Black 蜜糖珍珠</v>
          </cell>
          <cell r="D256" t="str">
            <v>Taiwan</v>
          </cell>
          <cell r="E256" t="str">
            <v>7 MM</v>
          </cell>
          <cell r="F256" t="str">
            <v>3 kgs</v>
          </cell>
        </row>
        <row r="257">
          <cell r="B257" t="str">
            <v>P3038</v>
          </cell>
          <cell r="C257" t="str">
            <v>Golden Pearl -黄金 珍珠</v>
          </cell>
          <cell r="D257" t="str">
            <v>Taiwan</v>
          </cell>
          <cell r="F257" t="str">
            <v>3 kgs</v>
          </cell>
        </row>
        <row r="258">
          <cell r="B258" t="str">
            <v>P3039</v>
          </cell>
          <cell r="C258" t="str">
            <v>Fine Salt  幼盐</v>
          </cell>
          <cell r="D258" t="str">
            <v>Thailand</v>
          </cell>
          <cell r="E258" t="str">
            <v>F/MAN</v>
          </cell>
          <cell r="F258" t="str">
            <v>500 gms</v>
          </cell>
        </row>
        <row r="259">
          <cell r="B259" t="str">
            <v>P3039A</v>
          </cell>
          <cell r="C259" t="str">
            <v>Fine Salt  幼盐</v>
          </cell>
          <cell r="D259" t="str">
            <v>Thailand</v>
          </cell>
          <cell r="E259" t="str">
            <v>F/MAN</v>
          </cell>
          <cell r="F259" t="str">
            <v>500 gm x 10 Box</v>
          </cell>
        </row>
        <row r="260">
          <cell r="B260" t="str">
            <v>P3040</v>
          </cell>
          <cell r="C260" t="str">
            <v>SALT 盐</v>
          </cell>
          <cell r="D260" t="str">
            <v>Thailand</v>
          </cell>
          <cell r="E260" t="str">
            <v>F/MAN</v>
          </cell>
          <cell r="F260" t="str">
            <v>3 kgs</v>
          </cell>
        </row>
        <row r="261">
          <cell r="B261" t="str">
            <v>P3041</v>
          </cell>
          <cell r="C261" t="str">
            <v>PACKED TOMATO SAUCE</v>
          </cell>
          <cell r="D261" t="str">
            <v>Singapore</v>
          </cell>
          <cell r="E261" t="str">
            <v>-</v>
          </cell>
        </row>
        <row r="262">
          <cell r="B262" t="str">
            <v>P3042</v>
          </cell>
          <cell r="C262" t="str">
            <v>Chilli 辣椒酱</v>
          </cell>
          <cell r="D262" t="str">
            <v>Singapore</v>
          </cell>
          <cell r="E262" t="str">
            <v>-</v>
          </cell>
        </row>
        <row r="263">
          <cell r="B263" t="str">
            <v>P3043</v>
          </cell>
          <cell r="C263" t="str">
            <v>Sour Plum 酸梅</v>
          </cell>
          <cell r="D263" t="str">
            <v>China</v>
          </cell>
          <cell r="E263" t="str">
            <v>-</v>
          </cell>
          <cell r="F263" t="str">
            <v>500 gm</v>
          </cell>
        </row>
        <row r="264">
          <cell r="B264" t="str">
            <v>P3044</v>
          </cell>
          <cell r="C264" t="str">
            <v>Sour Plum 酸梅（无子）</v>
          </cell>
          <cell r="D264" t="str">
            <v>China</v>
          </cell>
          <cell r="E264" t="str">
            <v>-</v>
          </cell>
          <cell r="F264" t="str">
            <v>1 kg</v>
          </cell>
        </row>
        <row r="265">
          <cell r="B265" t="str">
            <v>P3045</v>
          </cell>
          <cell r="C265" t="str">
            <v>Colour Rice 七彩米</v>
          </cell>
          <cell r="E265" t="str">
            <v>-</v>
          </cell>
          <cell r="F265" t="str">
            <v>1kg</v>
          </cell>
        </row>
        <row r="266">
          <cell r="B266" t="str">
            <v>P3046</v>
          </cell>
          <cell r="C266" t="str">
            <v>CoCo Rice 可可米</v>
          </cell>
          <cell r="E266" t="str">
            <v>-</v>
          </cell>
          <cell r="F266" t="str">
            <v>1kg</v>
          </cell>
        </row>
        <row r="267">
          <cell r="B267" t="str">
            <v>P3047</v>
          </cell>
          <cell r="C267" t="str">
            <v>Liquorice 甘草</v>
          </cell>
          <cell r="F267" t="str">
            <v>1kg</v>
          </cell>
        </row>
        <row r="268">
          <cell r="B268" t="str">
            <v>P3048</v>
          </cell>
          <cell r="C268" t="str">
            <v>Ginseng 人参</v>
          </cell>
          <cell r="F268" t="str">
            <v>1kg</v>
          </cell>
        </row>
        <row r="269">
          <cell r="B269" t="str">
            <v>P3049</v>
          </cell>
          <cell r="C269" t="str">
            <v>Honeysuckle 金银花</v>
          </cell>
          <cell r="F269" t="str">
            <v>1kg</v>
          </cell>
        </row>
        <row r="270">
          <cell r="B270" t="str">
            <v>P3050</v>
          </cell>
          <cell r="C270" t="str">
            <v>Fritillary 川贝</v>
          </cell>
          <cell r="F270" t="str">
            <v>1kg</v>
          </cell>
        </row>
        <row r="271">
          <cell r="B271" t="str">
            <v>P3051</v>
          </cell>
          <cell r="C271" t="str">
            <v>Sweet Almond 南杏</v>
          </cell>
          <cell r="D271" t="str">
            <v>China</v>
          </cell>
          <cell r="E271" t="str">
            <v>-</v>
          </cell>
          <cell r="F271" t="str">
            <v>1kg</v>
          </cell>
        </row>
        <row r="272">
          <cell r="B272" t="str">
            <v>P3052</v>
          </cell>
          <cell r="C272" t="str">
            <v>Bitter Almond 北杏</v>
          </cell>
          <cell r="D272" t="str">
            <v>China</v>
          </cell>
          <cell r="E272" t="str">
            <v>-</v>
          </cell>
          <cell r="F272" t="str">
            <v>1kg</v>
          </cell>
        </row>
        <row r="273">
          <cell r="B273" t="str">
            <v>P3053</v>
          </cell>
          <cell r="C273" t="str">
            <v>Black Date 黑枣</v>
          </cell>
          <cell r="F273" t="str">
            <v>1kg</v>
          </cell>
        </row>
        <row r="274">
          <cell r="B274" t="str">
            <v>P3054</v>
          </cell>
          <cell r="C274" t="str">
            <v>China Barley 中国薏米</v>
          </cell>
          <cell r="F274" t="str">
            <v>1kg</v>
          </cell>
        </row>
        <row r="275">
          <cell r="B275" t="str">
            <v>P3055</v>
          </cell>
          <cell r="C275" t="str">
            <v>Smoke Plum 乌梅</v>
          </cell>
          <cell r="F275" t="str">
            <v>1kg</v>
          </cell>
        </row>
        <row r="276">
          <cell r="B276" t="str">
            <v>P3056</v>
          </cell>
          <cell r="C276" t="str">
            <v>Premium Figs 无花果</v>
          </cell>
          <cell r="F276" t="str">
            <v>1kg</v>
          </cell>
        </row>
        <row r="277">
          <cell r="B277" t="str">
            <v>P3057</v>
          </cell>
          <cell r="C277" t="str">
            <v>Flatted Orange 橘饼</v>
          </cell>
          <cell r="F277" t="str">
            <v>1kg</v>
          </cell>
        </row>
        <row r="278">
          <cell r="B278" t="str">
            <v>P3058</v>
          </cell>
          <cell r="C278" t="str">
            <v>Black Sesame Seeds 黑芝麻</v>
          </cell>
          <cell r="D278" t="str">
            <v>China</v>
          </cell>
          <cell r="E278" t="str">
            <v>GD</v>
          </cell>
          <cell r="F278" t="str">
            <v>25 kgs</v>
          </cell>
        </row>
        <row r="279">
          <cell r="B279" t="str">
            <v>P3058A</v>
          </cell>
          <cell r="C279" t="str">
            <v>Black Sesame Seeds 黑芝麻</v>
          </cell>
          <cell r="D279" t="str">
            <v>China</v>
          </cell>
          <cell r="E279" t="str">
            <v>GD</v>
          </cell>
          <cell r="F279" t="str">
            <v>3 kgs</v>
          </cell>
        </row>
        <row r="280">
          <cell r="B280" t="str">
            <v>P3058B</v>
          </cell>
          <cell r="C280" t="str">
            <v>Black Sesame Seeds 黑芝麻</v>
          </cell>
          <cell r="D280" t="str">
            <v>China</v>
          </cell>
          <cell r="E280" t="str">
            <v>GD</v>
          </cell>
          <cell r="F280" t="str">
            <v>1 kg</v>
          </cell>
        </row>
        <row r="281">
          <cell r="B281" t="str">
            <v>P3059</v>
          </cell>
          <cell r="C281" t="str">
            <v>BLANDED APRICOT KERNELS光中杏 (南杏)</v>
          </cell>
          <cell r="F281" t="str">
            <v>3 KGS</v>
          </cell>
        </row>
        <row r="282">
          <cell r="B282" t="str">
            <v>P3060</v>
          </cell>
          <cell r="C282" t="str">
            <v>OSMANTHUS</v>
          </cell>
          <cell r="D282" t="str">
            <v>China</v>
          </cell>
          <cell r="E282" t="str">
            <v>-</v>
          </cell>
          <cell r="F282" t="str">
            <v>200 GM</v>
          </cell>
        </row>
        <row r="283">
          <cell r="B283" t="str">
            <v>P3061</v>
          </cell>
          <cell r="C283" t="str">
            <v>COARSE SALT</v>
          </cell>
          <cell r="D283" t="str">
            <v>-</v>
          </cell>
          <cell r="E283" t="str">
            <v>-</v>
          </cell>
          <cell r="F283" t="str">
            <v>3 KGS</v>
          </cell>
        </row>
        <row r="284">
          <cell r="B284" t="str">
            <v>P3062</v>
          </cell>
          <cell r="C284" t="str">
            <v>DRIED ROSELLE</v>
          </cell>
          <cell r="D284" t="str">
            <v>China</v>
          </cell>
          <cell r="E284" t="str">
            <v>-</v>
          </cell>
          <cell r="F284" t="str">
            <v>1 KG</v>
          </cell>
        </row>
        <row r="285">
          <cell r="B285" t="str">
            <v>P3063</v>
          </cell>
          <cell r="C285" t="str">
            <v>WHITE SESAME SEEDS</v>
          </cell>
          <cell r="D285" t="str">
            <v>China</v>
          </cell>
          <cell r="E285" t="str">
            <v>-</v>
          </cell>
          <cell r="F285" t="str">
            <v>25 kgs/Bag</v>
          </cell>
        </row>
        <row r="286">
          <cell r="B286" t="str">
            <v>P3064</v>
          </cell>
          <cell r="C286" t="str">
            <v>Rose Petal 玫瑰花瓣</v>
          </cell>
          <cell r="D286" t="str">
            <v>India</v>
          </cell>
          <cell r="F286" t="str">
            <v>50gm</v>
          </cell>
        </row>
        <row r="287">
          <cell r="B287" t="str">
            <v>P3065</v>
          </cell>
          <cell r="C287" t="str">
            <v>Instant Oatmeal 继冲麦片</v>
          </cell>
          <cell r="D287" t="str">
            <v>Malaysia</v>
          </cell>
          <cell r="E287" t="str">
            <v>QUAKER</v>
          </cell>
          <cell r="F287" t="str">
            <v>800 GM</v>
          </cell>
        </row>
        <row r="288">
          <cell r="B288" t="str">
            <v>P3066</v>
          </cell>
          <cell r="C288" t="str">
            <v>LaoYan 老盐柠檬茶用盐</v>
          </cell>
          <cell r="D288" t="str">
            <v>China</v>
          </cell>
          <cell r="E288" t="str">
            <v>银山</v>
          </cell>
          <cell r="F288" t="str">
            <v>300 GM</v>
          </cell>
        </row>
        <row r="289">
          <cell r="B289" t="str">
            <v>P3066A</v>
          </cell>
          <cell r="C289" t="str">
            <v>LaoYan 老盐柠檬茶用盐</v>
          </cell>
          <cell r="D289" t="str">
            <v>China</v>
          </cell>
          <cell r="E289" t="str">
            <v>银山</v>
          </cell>
          <cell r="F289" t="str">
            <v>200 GM</v>
          </cell>
        </row>
        <row r="290">
          <cell r="B290" t="str">
            <v>P3067</v>
          </cell>
          <cell r="C290" t="str">
            <v>Peach Gum 桃胶</v>
          </cell>
          <cell r="E290" t="str">
            <v>AAA</v>
          </cell>
          <cell r="F290" t="str">
            <v>500 GM/ Bag</v>
          </cell>
        </row>
        <row r="291">
          <cell r="B291" t="str">
            <v>P3068</v>
          </cell>
          <cell r="C291" t="str">
            <v>Caramel Syrup 焦糖</v>
          </cell>
          <cell r="E291" t="str">
            <v>-</v>
          </cell>
          <cell r="F291" t="str">
            <v>1.2 KG/ Btl</v>
          </cell>
        </row>
        <row r="292">
          <cell r="B292" t="str">
            <v>P3069</v>
          </cell>
          <cell r="C292" t="str">
            <v>Black Bean</v>
          </cell>
          <cell r="D292" t="str">
            <v>China</v>
          </cell>
          <cell r="E292" t="str">
            <v>-</v>
          </cell>
          <cell r="F292" t="str">
            <v>1 kg</v>
          </cell>
        </row>
        <row r="293">
          <cell r="B293" t="str">
            <v>P4001</v>
          </cell>
          <cell r="C293" t="str">
            <v>Sea Coconut 海底椰</v>
          </cell>
          <cell r="D293" t="str">
            <v>Thailand</v>
          </cell>
          <cell r="E293" t="str">
            <v>MiLi</v>
          </cell>
          <cell r="F293" t="str">
            <v>(565gm x 12)/箱</v>
          </cell>
        </row>
        <row r="294">
          <cell r="B294" t="str">
            <v>P4001A</v>
          </cell>
          <cell r="C294" t="str">
            <v>Sea Coconut 海底椰</v>
          </cell>
          <cell r="D294" t="str">
            <v>Thailand</v>
          </cell>
          <cell r="E294" t="str">
            <v>MiLi</v>
          </cell>
          <cell r="F294" t="str">
            <v>(565gm x 6)/箱</v>
          </cell>
        </row>
        <row r="295">
          <cell r="B295" t="str">
            <v>P4002</v>
          </cell>
          <cell r="C295" t="str">
            <v>Sea Coconut 海底椰</v>
          </cell>
          <cell r="E295" t="str">
            <v>SUN KEE</v>
          </cell>
          <cell r="F295" t="str">
            <v>6 CAN X A10</v>
          </cell>
        </row>
        <row r="296">
          <cell r="B296" t="str">
            <v>P4002A</v>
          </cell>
          <cell r="C296" t="str">
            <v>Sea Coconut 海底椰</v>
          </cell>
          <cell r="D296" t="str">
            <v>-</v>
          </cell>
          <cell r="E296" t="str">
            <v>SUN KEE</v>
          </cell>
          <cell r="F296" t="str">
            <v>1 Can X A10</v>
          </cell>
        </row>
        <row r="297">
          <cell r="B297" t="str">
            <v>P4003</v>
          </cell>
          <cell r="C297" t="str">
            <v>Sea Coconut 海底椰</v>
          </cell>
          <cell r="D297" t="str">
            <v>Thailand</v>
          </cell>
          <cell r="E297" t="str">
            <v>Chefs</v>
          </cell>
          <cell r="F297" t="str">
            <v>6 Can X A10</v>
          </cell>
        </row>
        <row r="298">
          <cell r="B298" t="str">
            <v>P4003A</v>
          </cell>
          <cell r="C298" t="str">
            <v>Sea Coconut 海底椰</v>
          </cell>
          <cell r="D298" t="str">
            <v>Thailand</v>
          </cell>
          <cell r="E298" t="str">
            <v>Chefs</v>
          </cell>
          <cell r="F298" t="str">
            <v>1 Can X A10</v>
          </cell>
        </row>
        <row r="299">
          <cell r="B299" t="str">
            <v>P4004</v>
          </cell>
          <cell r="C299" t="str">
            <v>Nata 椰果芊 15mm</v>
          </cell>
          <cell r="D299" t="str">
            <v>Thailand</v>
          </cell>
          <cell r="E299" t="str">
            <v>Chefs</v>
          </cell>
          <cell r="F299" t="str">
            <v>6 Can X A10</v>
          </cell>
        </row>
        <row r="300">
          <cell r="B300" t="str">
            <v>P4004A</v>
          </cell>
          <cell r="C300" t="str">
            <v>Nata 椰果芊 15mm</v>
          </cell>
          <cell r="D300" t="str">
            <v>Thailand</v>
          </cell>
          <cell r="E300" t="str">
            <v>Chefs</v>
          </cell>
          <cell r="F300" t="str">
            <v>1 Can X A10</v>
          </cell>
        </row>
        <row r="302">
          <cell r="B302" t="str">
            <v>P4005</v>
          </cell>
          <cell r="C302" t="str">
            <v>Nata 椰果芊 5mm</v>
          </cell>
          <cell r="D302" t="str">
            <v>Thailand</v>
          </cell>
          <cell r="E302" t="str">
            <v>Chefs</v>
          </cell>
          <cell r="F302" t="str">
            <v>6 Can X A10</v>
          </cell>
        </row>
        <row r="303">
          <cell r="B303" t="str">
            <v>P4005A</v>
          </cell>
          <cell r="C303" t="str">
            <v>Nata 椰果芊 5mm</v>
          </cell>
          <cell r="D303" t="str">
            <v>Thailand</v>
          </cell>
          <cell r="E303" t="str">
            <v>Chefs</v>
          </cell>
          <cell r="F303" t="str">
            <v>1 Can X A10</v>
          </cell>
        </row>
        <row r="304">
          <cell r="B304" t="str">
            <v>P4006</v>
          </cell>
          <cell r="C304" t="str">
            <v>Aloe Vera 芦荟 10mm</v>
          </cell>
          <cell r="D304" t="str">
            <v>Thailand</v>
          </cell>
          <cell r="E304" t="str">
            <v>Chefs</v>
          </cell>
          <cell r="F304" t="str">
            <v>6 Can X A10</v>
          </cell>
        </row>
        <row r="305">
          <cell r="B305" t="str">
            <v>P4006A</v>
          </cell>
          <cell r="C305" t="str">
            <v>Aloe Vera 芦荟 10mm</v>
          </cell>
          <cell r="D305" t="str">
            <v>Thailand</v>
          </cell>
          <cell r="E305" t="str">
            <v>Chefs</v>
          </cell>
          <cell r="F305" t="str">
            <v>1 Can X A10</v>
          </cell>
        </row>
        <row r="306">
          <cell r="B306" t="str">
            <v>P4007</v>
          </cell>
          <cell r="C306" t="str">
            <v>Longan in Syrup 龙眼</v>
          </cell>
          <cell r="D306" t="str">
            <v>Thailand</v>
          </cell>
          <cell r="E306" t="str">
            <v>YiFong</v>
          </cell>
          <cell r="F306" t="str">
            <v>(565gm x 12)/箱</v>
          </cell>
        </row>
        <row r="307">
          <cell r="B307" t="str">
            <v>P4008</v>
          </cell>
          <cell r="C307" t="str">
            <v>Longan in Syrup 龙眼</v>
          </cell>
          <cell r="D307" t="str">
            <v>Thailand</v>
          </cell>
          <cell r="E307" t="str">
            <v>Royal Orchid</v>
          </cell>
          <cell r="F307" t="str">
            <v>(565gm x 12)/箱</v>
          </cell>
        </row>
        <row r="308">
          <cell r="B308" t="str">
            <v>P4009</v>
          </cell>
          <cell r="C308" t="str">
            <v>Lychee in Syrup 荔枝</v>
          </cell>
          <cell r="D308" t="str">
            <v>China</v>
          </cell>
          <cell r="E308" t="str">
            <v>Golden Champ</v>
          </cell>
          <cell r="F308" t="str">
            <v>(567gm x 24)/箱</v>
          </cell>
        </row>
        <row r="309">
          <cell r="B309" t="str">
            <v>P4009A</v>
          </cell>
          <cell r="C309" t="str">
            <v>Lychee in Syrup 荔枝</v>
          </cell>
          <cell r="D309" t="str">
            <v>China</v>
          </cell>
          <cell r="E309" t="str">
            <v>Golden Champ</v>
          </cell>
          <cell r="F309" t="str">
            <v>(567gm x 12)/箱</v>
          </cell>
        </row>
        <row r="310">
          <cell r="B310" t="str">
            <v>P4009B</v>
          </cell>
          <cell r="C310" t="str">
            <v>Lychee in Syrup 荔枝</v>
          </cell>
          <cell r="D310" t="str">
            <v>China</v>
          </cell>
          <cell r="E310" t="str">
            <v>Golden Champ</v>
          </cell>
          <cell r="F310" t="str">
            <v>567 GM/CAN</v>
          </cell>
        </row>
        <row r="311">
          <cell r="B311" t="str">
            <v>P4010</v>
          </cell>
          <cell r="C311" t="str">
            <v>Lychee in Syrup 荔枝</v>
          </cell>
          <cell r="D311" t="str">
            <v>Thailand</v>
          </cell>
          <cell r="E311" t="str">
            <v>MiLi</v>
          </cell>
          <cell r="F311" t="str">
            <v>12can/箱</v>
          </cell>
        </row>
        <row r="312">
          <cell r="B312" t="str">
            <v>P4011</v>
          </cell>
          <cell r="C312" t="str">
            <v>Lychee in Syrup 荔枝</v>
          </cell>
          <cell r="D312" t="str">
            <v>China</v>
          </cell>
          <cell r="E312" t="str">
            <v>Statue</v>
          </cell>
          <cell r="F312" t="str">
            <v>12 CAN/CARTON</v>
          </cell>
        </row>
        <row r="313">
          <cell r="B313" t="str">
            <v>P4012</v>
          </cell>
          <cell r="C313" t="str">
            <v>Longan in Syrup 龙眼</v>
          </cell>
          <cell r="D313" t="str">
            <v>Thailand</v>
          </cell>
          <cell r="E313" t="str">
            <v>Pacific</v>
          </cell>
          <cell r="F313" t="str">
            <v>(565gm x 12)/箱</v>
          </cell>
        </row>
        <row r="314">
          <cell r="B314" t="str">
            <v>P4013</v>
          </cell>
          <cell r="C314" t="str">
            <v>Fruit Cocktail 杂果</v>
          </cell>
          <cell r="D314" t="str">
            <v>Thailand</v>
          </cell>
          <cell r="E314" t="str">
            <v>Statue</v>
          </cell>
          <cell r="F314" t="str">
            <v>(820gm x 12)/箱</v>
          </cell>
        </row>
        <row r="315">
          <cell r="B315" t="str">
            <v>P4014</v>
          </cell>
          <cell r="C315" t="str">
            <v>Cream Corn 玉米浆</v>
          </cell>
          <cell r="D315" t="str">
            <v>Thailand</v>
          </cell>
          <cell r="E315" t="str">
            <v>Statue</v>
          </cell>
          <cell r="F315" t="str">
            <v>(425gm x 24)/箱</v>
          </cell>
        </row>
        <row r="316">
          <cell r="B316" t="str">
            <v>P4014A</v>
          </cell>
          <cell r="C316" t="str">
            <v>Cream Corn 玉米浆</v>
          </cell>
          <cell r="D316" t="str">
            <v>Thailand</v>
          </cell>
          <cell r="E316" t="str">
            <v>Statue</v>
          </cell>
          <cell r="F316" t="str">
            <v>425 GM/CAN</v>
          </cell>
        </row>
        <row r="317">
          <cell r="B317" t="str">
            <v>P4015</v>
          </cell>
          <cell r="C317" t="str">
            <v>Whole Corn 玉米粒</v>
          </cell>
          <cell r="D317" t="str">
            <v>Thailand</v>
          </cell>
          <cell r="E317" t="str">
            <v>Statue</v>
          </cell>
          <cell r="F317" t="str">
            <v>(410gm x 24)/箱</v>
          </cell>
        </row>
        <row r="318">
          <cell r="B318" t="str">
            <v>P4015A</v>
          </cell>
          <cell r="C318" t="str">
            <v>Whole Corn 玉米粒</v>
          </cell>
          <cell r="D318" t="str">
            <v>Thailand</v>
          </cell>
          <cell r="E318" t="str">
            <v>Statue</v>
          </cell>
          <cell r="F318" t="str">
            <v>425 GM/CAN</v>
          </cell>
        </row>
        <row r="319">
          <cell r="B319" t="str">
            <v>P4016</v>
          </cell>
          <cell r="C319" t="str">
            <v>Canned Red Bean 罐头红豆</v>
          </cell>
          <cell r="D319" t="str">
            <v>Taiwan</v>
          </cell>
          <cell r="E319" t="str">
            <v>Joy</v>
          </cell>
          <cell r="F319" t="str">
            <v>3.3KG X 6/Ctn箱</v>
          </cell>
        </row>
        <row r="320">
          <cell r="B320" t="str">
            <v>P4016A</v>
          </cell>
          <cell r="C320" t="str">
            <v>Canned Red Bean 罐头红豆</v>
          </cell>
          <cell r="D320" t="str">
            <v>Taiwan</v>
          </cell>
          <cell r="E320" t="str">
            <v>Joy</v>
          </cell>
          <cell r="F320" t="str">
            <v xml:space="preserve">3.3KG/Can </v>
          </cell>
        </row>
        <row r="323">
          <cell r="B323" t="str">
            <v>P4018</v>
          </cell>
          <cell r="C323" t="str">
            <v>Carnation Milk 三花淡奶水</v>
          </cell>
          <cell r="D323" t="str">
            <v>Thailand</v>
          </cell>
          <cell r="E323" t="str">
            <v>Threeflower</v>
          </cell>
          <cell r="F323" t="str">
            <v>405 gm x48 can/Ctn</v>
          </cell>
        </row>
        <row r="324">
          <cell r="B324" t="str">
            <v>P4018A</v>
          </cell>
          <cell r="C324" t="str">
            <v>Carnation Milk 三花淡奶水</v>
          </cell>
          <cell r="D324" t="str">
            <v>Thailand</v>
          </cell>
          <cell r="E324" t="str">
            <v>Threeflower</v>
          </cell>
          <cell r="F324" t="str">
            <v>405gm/can/罐</v>
          </cell>
        </row>
        <row r="325">
          <cell r="B325" t="str">
            <v>P4019</v>
          </cell>
          <cell r="C325" t="str">
            <v>Evaporated Creamer 淡奶水</v>
          </cell>
          <cell r="D325" t="str">
            <v>Thailand</v>
          </cell>
          <cell r="E325" t="str">
            <v>Marigold</v>
          </cell>
          <cell r="F325" t="str">
            <v>48 can/Ctn</v>
          </cell>
        </row>
        <row r="326">
          <cell r="B326" t="str">
            <v>P4019A</v>
          </cell>
          <cell r="C326" t="str">
            <v>Evaporated Creamer 淡奶水</v>
          </cell>
          <cell r="D326" t="str">
            <v>Thailand</v>
          </cell>
          <cell r="E326" t="str">
            <v>Marigold</v>
          </cell>
          <cell r="F326" t="str">
            <v>1 CAN</v>
          </cell>
        </row>
        <row r="327">
          <cell r="B327" t="str">
            <v>P4020</v>
          </cell>
          <cell r="C327" t="str">
            <v>Sweetened Creamer 练奶</v>
          </cell>
          <cell r="D327" t="str">
            <v>Thailand</v>
          </cell>
          <cell r="E327" t="str">
            <v>Dawn牛</v>
          </cell>
          <cell r="F327" t="str">
            <v>380 gm x 48 can/Ctn</v>
          </cell>
        </row>
        <row r="328">
          <cell r="B328" t="str">
            <v>P4020A</v>
          </cell>
          <cell r="C328" t="str">
            <v>Sweetened Creamer 练奶</v>
          </cell>
          <cell r="D328" t="str">
            <v>Thailand</v>
          </cell>
          <cell r="E328" t="str">
            <v>Dawn牛</v>
          </cell>
          <cell r="F328" t="str">
            <v>380GM/CAN</v>
          </cell>
        </row>
        <row r="329">
          <cell r="B329" t="str">
            <v>P4021</v>
          </cell>
          <cell r="C329" t="str">
            <v>Full Cream Milk 牛奶</v>
          </cell>
          <cell r="D329" t="str">
            <v>Malaysia</v>
          </cell>
          <cell r="E329" t="str">
            <v>Marigold</v>
          </cell>
          <cell r="F329" t="str">
            <v>1Lt x 12 Pkt/Ctn</v>
          </cell>
        </row>
        <row r="330">
          <cell r="B330" t="str">
            <v>P4022</v>
          </cell>
          <cell r="C330" t="str">
            <v>Pure Milk 牛奶</v>
          </cell>
          <cell r="D330" t="str">
            <v>Malaysia</v>
          </cell>
          <cell r="E330" t="str">
            <v>Cowhead</v>
          </cell>
          <cell r="F330" t="str">
            <v>1Lt x 12 Pkt/Ctn</v>
          </cell>
        </row>
        <row r="331">
          <cell r="B331" t="str">
            <v>P4023</v>
          </cell>
          <cell r="C331" t="str">
            <v>Carnation Milk 淡奶水</v>
          </cell>
          <cell r="E331" t="str">
            <v>King &amp; King</v>
          </cell>
          <cell r="F331" t="str">
            <v>48 can/Box</v>
          </cell>
        </row>
        <row r="332">
          <cell r="B332" t="str">
            <v>P4024</v>
          </cell>
          <cell r="C332" t="str">
            <v>GingKo Nut 白果罐</v>
          </cell>
          <cell r="D332" t="str">
            <v>China</v>
          </cell>
          <cell r="E332" t="str">
            <v>MiLi</v>
          </cell>
          <cell r="F332" t="str">
            <v>(397gm x 24)/箱</v>
          </cell>
        </row>
        <row r="333">
          <cell r="B333" t="str">
            <v>P4025</v>
          </cell>
        </row>
        <row r="334">
          <cell r="B334" t="str">
            <v>P4026</v>
          </cell>
          <cell r="C334" t="str">
            <v>Peaches Halves 桃畔</v>
          </cell>
          <cell r="D334" t="str">
            <v>South Africa</v>
          </cell>
          <cell r="E334" t="str">
            <v>Hosen</v>
          </cell>
          <cell r="F334" t="str">
            <v>12can x 825G/Carton</v>
          </cell>
        </row>
        <row r="335">
          <cell r="B335" t="str">
            <v>P4027</v>
          </cell>
          <cell r="C335" t="str">
            <v>Water Chestnut 马蹄罐</v>
          </cell>
          <cell r="D335" t="str">
            <v>China</v>
          </cell>
          <cell r="E335" t="str">
            <v>MiLi</v>
          </cell>
          <cell r="F335" t="str">
            <v>(567gm x 24)/箱</v>
          </cell>
        </row>
        <row r="336">
          <cell r="B336" t="str">
            <v>P4028</v>
          </cell>
          <cell r="C336" t="str">
            <v>Butter 牛油</v>
          </cell>
          <cell r="E336" t="str">
            <v>-</v>
          </cell>
          <cell r="F336" t="str">
            <v>1 box</v>
          </cell>
        </row>
        <row r="337">
          <cell r="B337" t="str">
            <v>P4029</v>
          </cell>
        </row>
        <row r="338">
          <cell r="B338" t="str">
            <v>P4030</v>
          </cell>
          <cell r="C338" t="str">
            <v>Coconut Milk 椰浆</v>
          </cell>
          <cell r="D338" t="str">
            <v>Indonesia</v>
          </cell>
          <cell r="E338" t="str">
            <v>Kara UHT</v>
          </cell>
          <cell r="F338" t="str">
            <v>(1L x 12bag)/箱</v>
          </cell>
        </row>
        <row r="339">
          <cell r="B339" t="str">
            <v>P4030A</v>
          </cell>
          <cell r="C339" t="str">
            <v>Coconut Milk 椰浆小</v>
          </cell>
          <cell r="D339" t="str">
            <v>Indonesia</v>
          </cell>
          <cell r="E339" t="str">
            <v>Kara UHT</v>
          </cell>
          <cell r="F339" t="str">
            <v>(200gm x 30bag)/箱</v>
          </cell>
        </row>
        <row r="340">
          <cell r="B340" t="str">
            <v>P4030B</v>
          </cell>
          <cell r="C340" t="str">
            <v>Coconut Milk 椰浆</v>
          </cell>
          <cell r="E340" t="str">
            <v>Kara UHT</v>
          </cell>
          <cell r="F340" t="str">
            <v>200 GM/PKT</v>
          </cell>
        </row>
        <row r="341">
          <cell r="B341" t="str">
            <v>P4031</v>
          </cell>
        </row>
        <row r="342">
          <cell r="B342" t="str">
            <v>P4032</v>
          </cell>
          <cell r="C342" t="str">
            <v>Coconut Milk 椰浆</v>
          </cell>
          <cell r="D342" t="str">
            <v>Indonesia</v>
          </cell>
          <cell r="E342" t="str">
            <v>Sin-ind</v>
          </cell>
          <cell r="F342" t="str">
            <v>(1L x 12bag)/箱</v>
          </cell>
        </row>
        <row r="343">
          <cell r="B343" t="str">
            <v>P4033</v>
          </cell>
          <cell r="C343" t="str">
            <v>Lime Juice 柠檬汁</v>
          </cell>
          <cell r="D343" t="str">
            <v>Malaysia</v>
          </cell>
          <cell r="E343" t="str">
            <v>-</v>
          </cell>
          <cell r="F343" t="str">
            <v>6 BOTTLE</v>
          </cell>
        </row>
        <row r="344">
          <cell r="B344" t="str">
            <v>P4034</v>
          </cell>
          <cell r="C344" t="str">
            <v>Water Chestnut Juice 马蹄水</v>
          </cell>
          <cell r="D344" t="str">
            <v>Singapore</v>
          </cell>
          <cell r="E344" t="str">
            <v>-</v>
          </cell>
          <cell r="F344" t="str">
            <v>4 lt</v>
          </cell>
        </row>
        <row r="345">
          <cell r="B345" t="str">
            <v>P4035</v>
          </cell>
          <cell r="C345" t="str">
            <v>Calamansi Juice 酸柑水</v>
          </cell>
          <cell r="D345" t="str">
            <v>Singapore</v>
          </cell>
          <cell r="E345" t="str">
            <v>-</v>
          </cell>
          <cell r="F345" t="str">
            <v>4 lt</v>
          </cell>
        </row>
        <row r="346">
          <cell r="B346" t="str">
            <v>P4036</v>
          </cell>
          <cell r="C346" t="str">
            <v>Sour Plum Juice 酸梅水</v>
          </cell>
          <cell r="D346" t="str">
            <v>Singapore</v>
          </cell>
          <cell r="E346" t="str">
            <v>-</v>
          </cell>
          <cell r="F346" t="str">
            <v>4 lt</v>
          </cell>
        </row>
        <row r="347">
          <cell r="B347" t="str">
            <v>P4037</v>
          </cell>
          <cell r="C347" t="str">
            <v>Rose Juice 玫瑰水</v>
          </cell>
          <cell r="D347" t="str">
            <v>Singapore</v>
          </cell>
          <cell r="E347" t="str">
            <v>-</v>
          </cell>
          <cell r="F347" t="str">
            <v>4 lt</v>
          </cell>
        </row>
        <row r="348">
          <cell r="B348" t="str">
            <v>P4038</v>
          </cell>
          <cell r="C348" t="str">
            <v xml:space="preserve">FRUTTOSE BLUEBERRY FILLING </v>
          </cell>
          <cell r="D348" t="str">
            <v>Malaysia</v>
          </cell>
          <cell r="F348" t="str">
            <v>3.3 KGS</v>
          </cell>
        </row>
        <row r="349">
          <cell r="B349" t="str">
            <v>P4039</v>
          </cell>
        </row>
        <row r="350">
          <cell r="B350" t="str">
            <v>P4040</v>
          </cell>
        </row>
        <row r="351">
          <cell r="B351" t="str">
            <v>P4041</v>
          </cell>
          <cell r="C351" t="str">
            <v>Polar Mineral Water 矿泉水</v>
          </cell>
          <cell r="E351" t="str">
            <v>-</v>
          </cell>
          <cell r="F351" t="str">
            <v>600ML/24BTL</v>
          </cell>
        </row>
        <row r="352">
          <cell r="B352" t="str">
            <v>P4042</v>
          </cell>
          <cell r="C352" t="str">
            <v>Mango Juice</v>
          </cell>
          <cell r="E352" t="str">
            <v>-</v>
          </cell>
          <cell r="F352" t="str">
            <v>5 KGS</v>
          </cell>
        </row>
        <row r="353">
          <cell r="B353" t="str">
            <v>P4043</v>
          </cell>
          <cell r="C353" t="str">
            <v>Wheat Grass 小麦草</v>
          </cell>
          <cell r="D353" t="str">
            <v>Malaysia</v>
          </cell>
          <cell r="E353" t="str">
            <v>-</v>
          </cell>
          <cell r="F353" t="str">
            <v>4 lt</v>
          </cell>
        </row>
        <row r="354">
          <cell r="B354" t="str">
            <v>P4044</v>
          </cell>
          <cell r="C354" t="str">
            <v>Honeydew Premier Concentrated</v>
          </cell>
          <cell r="D354" t="str">
            <v>Taiwan</v>
          </cell>
          <cell r="E354" t="str">
            <v>-</v>
          </cell>
          <cell r="F354" t="str">
            <v>5 KGS</v>
          </cell>
        </row>
        <row r="355">
          <cell r="B355" t="str">
            <v>P4045</v>
          </cell>
          <cell r="C355" t="str">
            <v>Honey Longan syrup</v>
          </cell>
          <cell r="D355" t="str">
            <v>Taiwan</v>
          </cell>
          <cell r="E355" t="str">
            <v>-</v>
          </cell>
          <cell r="F355" t="str">
            <v>3 kgs</v>
          </cell>
        </row>
        <row r="356">
          <cell r="B356" t="str">
            <v>P4046</v>
          </cell>
          <cell r="C356" t="str">
            <v xml:space="preserve">Kidney Beans </v>
          </cell>
          <cell r="D356" t="str">
            <v>-</v>
          </cell>
          <cell r="E356" t="str">
            <v>Hosen</v>
          </cell>
          <cell r="F356" t="str">
            <v>24x 425 gms</v>
          </cell>
        </row>
        <row r="357">
          <cell r="B357" t="str">
            <v>P4046A</v>
          </cell>
          <cell r="C357" t="str">
            <v xml:space="preserve">Kidney Beans </v>
          </cell>
          <cell r="D357" t="str">
            <v>-</v>
          </cell>
          <cell r="E357" t="str">
            <v>Hosen</v>
          </cell>
          <cell r="F357" t="str">
            <v>425 GM/CAN</v>
          </cell>
        </row>
        <row r="358">
          <cell r="B358" t="str">
            <v>P4047</v>
          </cell>
          <cell r="C358" t="str">
            <v>Nata 椰果芊 10 x 10MM</v>
          </cell>
          <cell r="D358" t="str">
            <v>Thailand</v>
          </cell>
          <cell r="E358" t="str">
            <v>Golden boy</v>
          </cell>
          <cell r="F358" t="str">
            <v>1 Can X A10</v>
          </cell>
        </row>
        <row r="359">
          <cell r="B359" t="str">
            <v>P4048</v>
          </cell>
        </row>
        <row r="360">
          <cell r="B360" t="str">
            <v>P4048A</v>
          </cell>
        </row>
        <row r="361">
          <cell r="B361" t="str">
            <v>P4049</v>
          </cell>
          <cell r="C361" t="str">
            <v>Fruit Cocktail 杂果</v>
          </cell>
          <cell r="D361" t="str">
            <v>Phlippine</v>
          </cell>
          <cell r="E361" t="str">
            <v>Hosen</v>
          </cell>
          <cell r="F361" t="str">
            <v>(836gm x 12)/箱</v>
          </cell>
        </row>
        <row r="362">
          <cell r="B362" t="str">
            <v>P4050</v>
          </cell>
          <cell r="C362" t="str">
            <v>Water Chestnut 马蹄罐</v>
          </cell>
          <cell r="D362" t="str">
            <v>China</v>
          </cell>
          <cell r="E362" t="str">
            <v>GOLDEN CHAMP</v>
          </cell>
          <cell r="F362" t="str">
            <v>(567gm x 24)/箱</v>
          </cell>
        </row>
        <row r="363">
          <cell r="B363" t="str">
            <v>P4051</v>
          </cell>
          <cell r="C363" t="str">
            <v>Peaches Halves Quality 桃畔</v>
          </cell>
          <cell r="D363" t="str">
            <v>Greece</v>
          </cell>
          <cell r="E363" t="str">
            <v>Hosen</v>
          </cell>
          <cell r="F363" t="str">
            <v>12can x 825G/Ctn箱</v>
          </cell>
        </row>
        <row r="364">
          <cell r="B364" t="str">
            <v>P4052</v>
          </cell>
          <cell r="C364" t="str">
            <v>Fruit Cocktail Signature 杂果</v>
          </cell>
          <cell r="D364" t="str">
            <v>Phlippine</v>
          </cell>
          <cell r="E364" t="str">
            <v>Hosen</v>
          </cell>
          <cell r="F364" t="str">
            <v>(836gm x 12)/箱</v>
          </cell>
        </row>
        <row r="365">
          <cell r="B365" t="str">
            <v>P4053</v>
          </cell>
        </row>
        <row r="366">
          <cell r="B366" t="str">
            <v>P4054</v>
          </cell>
        </row>
        <row r="367">
          <cell r="B367" t="str">
            <v>P4055</v>
          </cell>
          <cell r="C367" t="str">
            <v>CORN CREAM 玉米浆</v>
          </cell>
          <cell r="D367" t="str">
            <v>China</v>
          </cell>
          <cell r="E367" t="str">
            <v>GOLDEN BOY</v>
          </cell>
          <cell r="F367" t="str">
            <v>24 CAN/CARTON</v>
          </cell>
        </row>
        <row r="368">
          <cell r="B368" t="str">
            <v>P4055A</v>
          </cell>
          <cell r="C368" t="str">
            <v>CORN CREAM 玉米浆</v>
          </cell>
          <cell r="D368" t="str">
            <v>China</v>
          </cell>
          <cell r="E368" t="str">
            <v>GOLDEN BOY</v>
          </cell>
          <cell r="F368" t="str">
            <v>425 GM/CAN</v>
          </cell>
        </row>
        <row r="369">
          <cell r="B369" t="str">
            <v>P4056</v>
          </cell>
          <cell r="C369" t="str">
            <v>CORN WHOLE 玉米粒</v>
          </cell>
          <cell r="D369" t="str">
            <v>China</v>
          </cell>
          <cell r="E369" t="str">
            <v>GOLDEN BOY</v>
          </cell>
          <cell r="F369" t="str">
            <v>24 CAN/CARTON</v>
          </cell>
        </row>
        <row r="370">
          <cell r="B370" t="str">
            <v>P4056A</v>
          </cell>
        </row>
        <row r="371">
          <cell r="B371" t="str">
            <v>P4057</v>
          </cell>
          <cell r="C371" t="str">
            <v>Pineapple in Cubes 黄梨丁</v>
          </cell>
          <cell r="D371" t="str">
            <v>Thailand</v>
          </cell>
          <cell r="E371" t="str">
            <v>STATUE</v>
          </cell>
          <cell r="F371" t="str">
            <v>24 CAN/CARTON</v>
          </cell>
        </row>
        <row r="372">
          <cell r="B372" t="str">
            <v>P4058</v>
          </cell>
          <cell r="C372" t="str">
            <v>Peaches Sliced 桃条</v>
          </cell>
          <cell r="E372" t="str">
            <v>Hosen</v>
          </cell>
          <cell r="F372" t="str">
            <v>12can x 825G/Ctn箱</v>
          </cell>
        </row>
        <row r="373">
          <cell r="B373" t="str">
            <v>P4059</v>
          </cell>
          <cell r="C373" t="str">
            <v>Whole Corn 玉米粒</v>
          </cell>
          <cell r="D373" t="str">
            <v>Thailand</v>
          </cell>
          <cell r="E373" t="str">
            <v>Twin Five</v>
          </cell>
          <cell r="F373" t="str">
            <v>24 CAN/CARTON</v>
          </cell>
        </row>
        <row r="374">
          <cell r="B374" t="str">
            <v>P4060</v>
          </cell>
          <cell r="C374" t="str">
            <v>Lychee in Syrup 荔枝</v>
          </cell>
          <cell r="D374" t="str">
            <v>China</v>
          </cell>
          <cell r="E374" t="str">
            <v>GoldenBoy</v>
          </cell>
          <cell r="F374" t="str">
            <v>(567gm x 12)/ Ctn箱</v>
          </cell>
        </row>
        <row r="375">
          <cell r="B375" t="str">
            <v>P4061</v>
          </cell>
          <cell r="C375" t="str">
            <v>Sea Coconut 海底椰</v>
          </cell>
          <cell r="D375" t="str">
            <v>China</v>
          </cell>
          <cell r="E375" t="str">
            <v>GoldenBoy</v>
          </cell>
          <cell r="F375" t="str">
            <v>(565gm x 12)/ Ctn箱</v>
          </cell>
        </row>
        <row r="376">
          <cell r="B376" t="str">
            <v>P4061A</v>
          </cell>
          <cell r="C376" t="str">
            <v>Sea Coconut 海底椰</v>
          </cell>
          <cell r="D376" t="str">
            <v>China</v>
          </cell>
          <cell r="E376" t="str">
            <v>GoldenBoy</v>
          </cell>
          <cell r="F376" t="str">
            <v>(565gm x 6)/ Ctn箱</v>
          </cell>
        </row>
        <row r="377">
          <cell r="B377" t="str">
            <v>P4062</v>
          </cell>
          <cell r="C377" t="str">
            <v>Pomelo in Syrup 柚子</v>
          </cell>
          <cell r="D377" t="str">
            <v>China</v>
          </cell>
          <cell r="E377" t="str">
            <v>GoldenBoy</v>
          </cell>
          <cell r="F377" t="str">
            <v>(850gm x 12)/ Ctn箱</v>
          </cell>
        </row>
        <row r="378">
          <cell r="B378" t="str">
            <v>P4063</v>
          </cell>
          <cell r="C378" t="str">
            <v>Longan in Syrup 龙眼</v>
          </cell>
          <cell r="D378" t="str">
            <v>Thailand</v>
          </cell>
          <cell r="E378" t="str">
            <v>GoldenBoy</v>
          </cell>
          <cell r="F378" t="str">
            <v>(565gm x 12)/ Ctn箱</v>
          </cell>
        </row>
        <row r="379">
          <cell r="B379" t="str">
            <v>P5001</v>
          </cell>
          <cell r="C379" t="str">
            <v>Rock Sugar 冰糖</v>
          </cell>
          <cell r="D379" t="str">
            <v>Thailand</v>
          </cell>
          <cell r="E379" t="str">
            <v>-</v>
          </cell>
          <cell r="F379" t="str">
            <v>3 KGS X 6 PKTS</v>
          </cell>
        </row>
        <row r="380">
          <cell r="B380" t="str">
            <v>P5001A</v>
          </cell>
          <cell r="C380" t="str">
            <v>Rock Sugar 冰糖</v>
          </cell>
          <cell r="D380" t="str">
            <v>Thailand</v>
          </cell>
          <cell r="E380" t="str">
            <v>-</v>
          </cell>
          <cell r="F380" t="str">
            <v>3 KGS/PKT</v>
          </cell>
        </row>
        <row r="381">
          <cell r="B381" t="str">
            <v>P5002</v>
          </cell>
          <cell r="C381" t="str">
            <v>Brown Sugar 黑糖</v>
          </cell>
          <cell r="D381" t="str">
            <v>Thailand</v>
          </cell>
          <cell r="E381" t="str">
            <v>Star</v>
          </cell>
          <cell r="F381" t="str">
            <v>6 kgs X 6 PKTS</v>
          </cell>
        </row>
        <row r="382">
          <cell r="B382" t="str">
            <v>P5002A</v>
          </cell>
          <cell r="C382" t="str">
            <v>Brown Sugar 黑糖</v>
          </cell>
          <cell r="D382" t="str">
            <v>Thailand</v>
          </cell>
          <cell r="E382" t="str">
            <v>Star</v>
          </cell>
          <cell r="F382" t="str">
            <v>6 kgs</v>
          </cell>
        </row>
        <row r="383">
          <cell r="B383" t="str">
            <v>P5002B</v>
          </cell>
          <cell r="C383" t="str">
            <v>Brown Sugar 黑糖</v>
          </cell>
          <cell r="D383" t="str">
            <v>Thailand</v>
          </cell>
          <cell r="E383" t="str">
            <v>Thailand</v>
          </cell>
          <cell r="F383" t="str">
            <v>6 kgs</v>
          </cell>
        </row>
        <row r="384">
          <cell r="B384" t="str">
            <v>P5002C</v>
          </cell>
          <cell r="C384" t="str">
            <v>Brown Sugar 黑糖</v>
          </cell>
          <cell r="D384" t="str">
            <v>Thailand</v>
          </cell>
          <cell r="E384" t="str">
            <v>Star</v>
          </cell>
          <cell r="F384" t="str">
            <v>1 kg</v>
          </cell>
        </row>
        <row r="385">
          <cell r="B385" t="str">
            <v>P5003</v>
          </cell>
          <cell r="C385" t="str">
            <v>Red Sugar 赤糖</v>
          </cell>
          <cell r="D385" t="str">
            <v>Thailand</v>
          </cell>
          <cell r="E385" t="str">
            <v>Star</v>
          </cell>
          <cell r="F385" t="str">
            <v>6 kgs X 6 PKTS</v>
          </cell>
        </row>
        <row r="386">
          <cell r="B386" t="str">
            <v>P5003A</v>
          </cell>
          <cell r="C386" t="str">
            <v>Red Sugar 赤糖</v>
          </cell>
          <cell r="D386" t="str">
            <v>Thailand</v>
          </cell>
          <cell r="E386" t="str">
            <v>Star</v>
          </cell>
          <cell r="F386" t="str">
            <v>6 kgs</v>
          </cell>
        </row>
        <row r="388">
          <cell r="B388" t="str">
            <v>P5003C</v>
          </cell>
          <cell r="C388" t="str">
            <v>Red Sugar 赤糖</v>
          </cell>
          <cell r="D388" t="str">
            <v>Thailand</v>
          </cell>
          <cell r="E388" t="str">
            <v>Star</v>
          </cell>
          <cell r="F388" t="str">
            <v>3 kgs</v>
          </cell>
        </row>
        <row r="389">
          <cell r="B389" t="str">
            <v>P5004</v>
          </cell>
          <cell r="C389" t="str">
            <v>Fine Sugar 白糖</v>
          </cell>
          <cell r="D389" t="str">
            <v>Thailand</v>
          </cell>
          <cell r="E389" t="str">
            <v>MITR PHOL</v>
          </cell>
          <cell r="F389" t="str">
            <v>25 KGS</v>
          </cell>
        </row>
        <row r="390">
          <cell r="B390" t="str">
            <v>P5005</v>
          </cell>
          <cell r="C390" t="str">
            <v>Fine Sugar 白糖</v>
          </cell>
          <cell r="D390" t="str">
            <v>Thailand</v>
          </cell>
          <cell r="E390" t="str">
            <v>SUN</v>
          </cell>
          <cell r="F390" t="str">
            <v>25 KGS</v>
          </cell>
        </row>
        <row r="391">
          <cell r="B391" t="str">
            <v>P5004A</v>
          </cell>
          <cell r="C391" t="str">
            <v>Fine Sugar 白糖</v>
          </cell>
          <cell r="D391" t="str">
            <v>Thailand</v>
          </cell>
          <cell r="E391" t="str">
            <v>MITR PHOL</v>
          </cell>
          <cell r="F391" t="str">
            <v>5 kgs</v>
          </cell>
        </row>
        <row r="392">
          <cell r="B392" t="str">
            <v>P5004B</v>
          </cell>
          <cell r="C392" t="str">
            <v>Fine Sugar 白糖</v>
          </cell>
          <cell r="D392" t="str">
            <v>Thailand</v>
          </cell>
          <cell r="E392" t="str">
            <v>MITR PHOL</v>
          </cell>
          <cell r="F392" t="str">
            <v>2 kgs</v>
          </cell>
        </row>
        <row r="393">
          <cell r="B393" t="str">
            <v>P5004C</v>
          </cell>
          <cell r="C393" t="str">
            <v>Fine Sugar 白糖</v>
          </cell>
          <cell r="D393" t="str">
            <v>Thailand</v>
          </cell>
          <cell r="E393" t="str">
            <v>MITR PHOL</v>
          </cell>
          <cell r="F393" t="str">
            <v>1 KG</v>
          </cell>
        </row>
        <row r="394">
          <cell r="B394" t="str">
            <v>P5006</v>
          </cell>
          <cell r="C394" t="str">
            <v>Coconut Sugar 椰糖</v>
          </cell>
          <cell r="D394" t="str">
            <v>Malaysia</v>
          </cell>
          <cell r="E394" t="str">
            <v>Malaysia</v>
          </cell>
          <cell r="F394" t="str">
            <v>10kgs/ctn</v>
          </cell>
        </row>
        <row r="395">
          <cell r="B395" t="str">
            <v>P5007</v>
          </cell>
          <cell r="C395" t="str">
            <v>Coconut Sugar 椰糖</v>
          </cell>
          <cell r="D395" t="str">
            <v>Indonesia</v>
          </cell>
          <cell r="E395" t="str">
            <v>2P</v>
          </cell>
          <cell r="F395" t="str">
            <v>10kgs/ctn</v>
          </cell>
        </row>
        <row r="396">
          <cell r="B396" t="str">
            <v>P5007A</v>
          </cell>
          <cell r="C396" t="str">
            <v>Coconut Sugar 椰糖</v>
          </cell>
          <cell r="D396" t="str">
            <v>Indonesia</v>
          </cell>
          <cell r="E396" t="str">
            <v>2P</v>
          </cell>
          <cell r="F396" t="str">
            <v>500 GM</v>
          </cell>
        </row>
        <row r="397">
          <cell r="B397" t="str">
            <v>P5008</v>
          </cell>
          <cell r="C397" t="str">
            <v>Coconut Sugar 椰糖</v>
          </cell>
          <cell r="D397" t="str">
            <v>Indonesia</v>
          </cell>
          <cell r="E397" t="str">
            <v>BL BRAND</v>
          </cell>
          <cell r="F397" t="str">
            <v>10kgs/ctn</v>
          </cell>
        </row>
        <row r="398">
          <cell r="B398" t="str">
            <v>P5009</v>
          </cell>
          <cell r="C398" t="str">
            <v>Coconut Sugar 椰糖</v>
          </cell>
          <cell r="D398" t="str">
            <v>Indonesia</v>
          </cell>
          <cell r="E398" t="str">
            <v>Indonesia</v>
          </cell>
          <cell r="F398" t="str">
            <v>10kgs/ctn</v>
          </cell>
        </row>
        <row r="399">
          <cell r="B399" t="str">
            <v>P5010</v>
          </cell>
          <cell r="C399" t="str">
            <v>Coconut Sugar 椰糖</v>
          </cell>
          <cell r="D399" t="str">
            <v>Indonesia</v>
          </cell>
          <cell r="E399" t="str">
            <v>Sugari</v>
          </cell>
          <cell r="F399" t="str">
            <v>10 kgs/Ctn</v>
          </cell>
        </row>
        <row r="400">
          <cell r="B400" t="str">
            <v>P5011</v>
          </cell>
          <cell r="C400" t="str">
            <v>Candy Sugar 片糖</v>
          </cell>
          <cell r="D400" t="str">
            <v>China</v>
          </cell>
          <cell r="E400" t="str">
            <v>-</v>
          </cell>
          <cell r="F400" t="str">
            <v>400gms x 50pkt/ctn</v>
          </cell>
        </row>
        <row r="401">
          <cell r="B401" t="str">
            <v>P5011A</v>
          </cell>
          <cell r="C401" t="str">
            <v>Candy Sugar 片糖</v>
          </cell>
          <cell r="D401" t="str">
            <v>China</v>
          </cell>
          <cell r="E401" t="str">
            <v>-</v>
          </cell>
          <cell r="F401" t="str">
            <v>400 GMS</v>
          </cell>
        </row>
        <row r="404">
          <cell r="B404" t="str">
            <v>P5013</v>
          </cell>
          <cell r="C404" t="str">
            <v>HONEY ROCK SUGAR</v>
          </cell>
          <cell r="D404" t="str">
            <v>CHINA</v>
          </cell>
          <cell r="E404" t="str">
            <v>-</v>
          </cell>
          <cell r="F404" t="str">
            <v>250GM X 80PKT</v>
          </cell>
        </row>
        <row r="405">
          <cell r="B405" t="str">
            <v>P5014</v>
          </cell>
          <cell r="C405" t="str">
            <v>Small Rock Sugar 小冰糖·</v>
          </cell>
          <cell r="D405" t="str">
            <v>Thailand</v>
          </cell>
          <cell r="E405" t="str">
            <v>Star</v>
          </cell>
          <cell r="F405" t="str">
            <v>3 kgs</v>
          </cell>
        </row>
        <row r="406">
          <cell r="B406" t="str">
            <v>P6001</v>
          </cell>
          <cell r="C406" t="str">
            <v>Tapioca木薯</v>
          </cell>
          <cell r="D406" t="str">
            <v>Malaysia</v>
          </cell>
          <cell r="E406" t="str">
            <v>Malaysia</v>
          </cell>
          <cell r="F406" t="str">
            <v>1 kg</v>
          </cell>
        </row>
        <row r="407">
          <cell r="B407" t="str">
            <v>P6002</v>
          </cell>
          <cell r="C407" t="str">
            <v>Sweet Potato 番薯</v>
          </cell>
          <cell r="D407" t="str">
            <v>Malaysia</v>
          </cell>
          <cell r="E407" t="str">
            <v>Malaysia</v>
          </cell>
          <cell r="F407" t="str">
            <v>1 KG</v>
          </cell>
        </row>
        <row r="408">
          <cell r="B408" t="str">
            <v>P6002A</v>
          </cell>
          <cell r="C408" t="str">
            <v>SKINLESS Sweet Potato 去皮番薯</v>
          </cell>
          <cell r="D408" t="str">
            <v>China</v>
          </cell>
          <cell r="E408" t="str">
            <v>Malaysia</v>
          </cell>
          <cell r="F408" t="str">
            <v>1 KG</v>
          </cell>
        </row>
        <row r="409">
          <cell r="B409" t="str">
            <v>P6003</v>
          </cell>
          <cell r="C409" t="str">
            <v>PURPLE Sweet Potato 番薯</v>
          </cell>
          <cell r="D409" t="str">
            <v>Malaysia</v>
          </cell>
          <cell r="E409" t="str">
            <v>Malaysia</v>
          </cell>
          <cell r="F409" t="str">
            <v>1 KG</v>
          </cell>
        </row>
        <row r="410">
          <cell r="B410" t="str">
            <v>P6004</v>
          </cell>
          <cell r="C410" t="str">
            <v>Yam 芋头</v>
          </cell>
          <cell r="D410" t="str">
            <v>Thailand</v>
          </cell>
          <cell r="E410" t="str">
            <v>Thailand</v>
          </cell>
          <cell r="F410" t="str">
            <v>1 KG</v>
          </cell>
        </row>
        <row r="411">
          <cell r="B411" t="str">
            <v>P6005</v>
          </cell>
          <cell r="C411" t="str">
            <v>Yam 芋头</v>
          </cell>
          <cell r="D411" t="str">
            <v>Malaysia</v>
          </cell>
          <cell r="E411" t="str">
            <v>Malaysia</v>
          </cell>
          <cell r="F411" t="str">
            <v>1 KG</v>
          </cell>
        </row>
        <row r="412">
          <cell r="B412" t="str">
            <v>P6006</v>
          </cell>
          <cell r="C412" t="str">
            <v>Yam Skinless 芋头去皮</v>
          </cell>
          <cell r="D412" t="str">
            <v>Indonesia</v>
          </cell>
          <cell r="E412" t="str">
            <v>Thailand</v>
          </cell>
          <cell r="F412" t="str">
            <v>1 KG</v>
          </cell>
        </row>
        <row r="413">
          <cell r="B413" t="str">
            <v>P6007</v>
          </cell>
          <cell r="C413" t="str">
            <v>Pandan Leaf 班兰叶</v>
          </cell>
          <cell r="D413" t="str">
            <v>Malaysia</v>
          </cell>
          <cell r="E413" t="str">
            <v>-</v>
          </cell>
          <cell r="F413" t="str">
            <v>1 kg</v>
          </cell>
        </row>
        <row r="414">
          <cell r="B414" t="str">
            <v>P6008</v>
          </cell>
          <cell r="C414" t="str">
            <v>Lime 酸甘</v>
          </cell>
          <cell r="D414" t="str">
            <v>Malaysia</v>
          </cell>
          <cell r="E414" t="str">
            <v>-</v>
          </cell>
          <cell r="F414" t="str">
            <v>1 kg</v>
          </cell>
        </row>
        <row r="415">
          <cell r="B415" t="str">
            <v>P6009</v>
          </cell>
          <cell r="C415" t="str">
            <v>Water Chestnut 马蹄</v>
          </cell>
          <cell r="D415" t="str">
            <v>China</v>
          </cell>
          <cell r="E415" t="str">
            <v>China</v>
          </cell>
          <cell r="F415" t="str">
            <v>1 KG</v>
          </cell>
        </row>
        <row r="416">
          <cell r="B416" t="str">
            <v>P6010</v>
          </cell>
          <cell r="C416" t="str">
            <v>China Turnip 沙葛</v>
          </cell>
          <cell r="D416" t="str">
            <v>Malaysia</v>
          </cell>
          <cell r="E416" t="str">
            <v>Malaysia</v>
          </cell>
          <cell r="F416" t="str">
            <v>1 kgs</v>
          </cell>
        </row>
        <row r="417">
          <cell r="B417" t="str">
            <v>P6011</v>
          </cell>
          <cell r="C417" t="str">
            <v>Ginger 老姜</v>
          </cell>
          <cell r="D417" t="str">
            <v>Malaysia</v>
          </cell>
          <cell r="E417" t="str">
            <v>-</v>
          </cell>
          <cell r="F417" t="str">
            <v>1 kg</v>
          </cell>
        </row>
        <row r="418">
          <cell r="B418" t="str">
            <v>P6012</v>
          </cell>
          <cell r="C418" t="str">
            <v>Bonton Ginger 文冬姜</v>
          </cell>
          <cell r="E418" t="str">
            <v>Malaysia</v>
          </cell>
          <cell r="F418" t="str">
            <v>1 kg</v>
          </cell>
        </row>
        <row r="419">
          <cell r="B419" t="str">
            <v>P6013</v>
          </cell>
          <cell r="C419" t="str">
            <v>Butterfly Peas 兰花</v>
          </cell>
          <cell r="D419" t="str">
            <v>Malaysia</v>
          </cell>
          <cell r="E419" t="str">
            <v>-</v>
          </cell>
          <cell r="F419" t="str">
            <v>50 GMS</v>
          </cell>
        </row>
        <row r="420">
          <cell r="B420" t="str">
            <v>P6014</v>
          </cell>
          <cell r="C420" t="str">
            <v>Yu Tiao 油条</v>
          </cell>
          <cell r="D420" t="str">
            <v>Singapore</v>
          </cell>
          <cell r="E420" t="str">
            <v>-</v>
          </cell>
          <cell r="F420" t="str">
            <v>1 pc</v>
          </cell>
        </row>
        <row r="421">
          <cell r="B421" t="str">
            <v>P6015</v>
          </cell>
          <cell r="C421" t="str">
            <v>Pumpkin Gourd 金瓜</v>
          </cell>
          <cell r="D421" t="str">
            <v>Singapore</v>
          </cell>
          <cell r="E421" t="str">
            <v>-</v>
          </cell>
          <cell r="F421" t="str">
            <v>1 kg</v>
          </cell>
        </row>
        <row r="422">
          <cell r="B422" t="str">
            <v>P6016</v>
          </cell>
          <cell r="C422" t="str">
            <v>Yellow Lemon 柠檬</v>
          </cell>
          <cell r="D422" t="str">
            <v>Singapore</v>
          </cell>
          <cell r="E422" t="str">
            <v>-</v>
          </cell>
          <cell r="F422" t="str">
            <v>1 kg</v>
          </cell>
        </row>
        <row r="423">
          <cell r="B423" t="str">
            <v>P6017</v>
          </cell>
          <cell r="C423" t="str">
            <v>GREEN SEEDLESS LEMON</v>
          </cell>
          <cell r="D423" t="str">
            <v>VIETNAM</v>
          </cell>
          <cell r="F423" t="str">
            <v>1 KG</v>
          </cell>
        </row>
        <row r="424">
          <cell r="B424" t="str">
            <v>P6020</v>
          </cell>
          <cell r="C424" t="str">
            <v>BeanCurd Frozen 豆包</v>
          </cell>
          <cell r="D424" t="str">
            <v>-</v>
          </cell>
          <cell r="E424" t="str">
            <v>-</v>
          </cell>
          <cell r="F424" t="str">
            <v>-</v>
          </cell>
        </row>
        <row r="425">
          <cell r="B425" t="str">
            <v>P7001</v>
          </cell>
          <cell r="C425" t="str">
            <v>Food Coloring - Liquid) 颜色水</v>
          </cell>
          <cell r="D425" t="str">
            <v>Malaysia</v>
          </cell>
          <cell r="E425" t="str">
            <v>Red/红</v>
          </cell>
          <cell r="F425" t="str">
            <v>500 ML/ Btl支</v>
          </cell>
        </row>
        <row r="426">
          <cell r="B426" t="str">
            <v>P7002</v>
          </cell>
          <cell r="C426" t="str">
            <v>Food Coloring - Liquid) 颜色水</v>
          </cell>
          <cell r="D426" t="str">
            <v>Malaysia</v>
          </cell>
          <cell r="E426" t="str">
            <v>Green/青</v>
          </cell>
          <cell r="F426" t="str">
            <v>500 ML/ Btl支</v>
          </cell>
        </row>
        <row r="427">
          <cell r="B427" t="str">
            <v>P7003</v>
          </cell>
          <cell r="C427" t="str">
            <v>Food Coloring - Liquid) 颜色水</v>
          </cell>
          <cell r="D427" t="str">
            <v>Malaysia</v>
          </cell>
          <cell r="E427" t="str">
            <v>Yellow/黄</v>
          </cell>
          <cell r="F427" t="str">
            <v>500 ML/ Btl支</v>
          </cell>
        </row>
        <row r="428">
          <cell r="B428" t="str">
            <v>P7004</v>
          </cell>
          <cell r="C428" t="str">
            <v>Food Coloring - Liquid) 颜色水</v>
          </cell>
          <cell r="D428" t="str">
            <v>Malaysia</v>
          </cell>
          <cell r="E428" t="str">
            <v>Black/黑</v>
          </cell>
          <cell r="F428" t="str">
            <v>500 ML/ Btl支</v>
          </cell>
        </row>
        <row r="429">
          <cell r="B429" t="str">
            <v>P7005</v>
          </cell>
          <cell r="C429" t="str">
            <v>Food Coloring Powder 色粉</v>
          </cell>
          <cell r="D429" t="str">
            <v>Malaysia</v>
          </cell>
          <cell r="E429" t="str">
            <v>F5025 Red/红</v>
          </cell>
          <cell r="F429" t="str">
            <v>400 gms</v>
          </cell>
        </row>
        <row r="430">
          <cell r="B430" t="str">
            <v>P7006</v>
          </cell>
          <cell r="C430" t="str">
            <v>Food Coloring Powder 色粉</v>
          </cell>
          <cell r="D430" t="str">
            <v>Malaysia</v>
          </cell>
          <cell r="E430" t="str">
            <v>Green/青</v>
          </cell>
          <cell r="F430" t="str">
            <v>400 gms</v>
          </cell>
        </row>
        <row r="431">
          <cell r="B431" t="str">
            <v>P7007</v>
          </cell>
          <cell r="C431" t="str">
            <v>Food Coloring Powder 色粉</v>
          </cell>
          <cell r="E431" t="str">
            <v>Yellow/黄</v>
          </cell>
          <cell r="F431" t="str">
            <v>400 gms</v>
          </cell>
        </row>
        <row r="432">
          <cell r="B432" t="str">
            <v>P7008</v>
          </cell>
          <cell r="C432" t="str">
            <v>Food Coloring 颜色水</v>
          </cell>
          <cell r="E432" t="str">
            <v>Black/黑</v>
          </cell>
          <cell r="F432" t="str">
            <v>5 lt</v>
          </cell>
        </row>
        <row r="433">
          <cell r="B433" t="str">
            <v>P7009</v>
          </cell>
          <cell r="C433" t="str">
            <v>Flavour Essence 香精</v>
          </cell>
          <cell r="D433" t="str">
            <v>Malaysia</v>
          </cell>
          <cell r="E433" t="str">
            <v>Almond No 1</v>
          </cell>
          <cell r="F433" t="str">
            <v>450 ML/BTL</v>
          </cell>
        </row>
        <row r="434">
          <cell r="B434" t="str">
            <v>P7010</v>
          </cell>
          <cell r="C434" t="str">
            <v>Flavour Essence 香精</v>
          </cell>
          <cell r="E434" t="str">
            <v>Rose 721</v>
          </cell>
          <cell r="F434" t="str">
            <v>450 ML/BTL</v>
          </cell>
        </row>
        <row r="435">
          <cell r="B435" t="str">
            <v>P7011</v>
          </cell>
          <cell r="C435" t="str">
            <v>Flavour Essence 香精</v>
          </cell>
          <cell r="E435" t="str">
            <v>Honeydew</v>
          </cell>
          <cell r="F435" t="str">
            <v>450 ML/BTL</v>
          </cell>
        </row>
        <row r="436">
          <cell r="B436" t="str">
            <v>P7012</v>
          </cell>
          <cell r="C436" t="str">
            <v>Flavour Essence 香精</v>
          </cell>
          <cell r="E436" t="str">
            <v>Mango</v>
          </cell>
          <cell r="F436" t="str">
            <v>450 ML/BTL</v>
          </cell>
        </row>
        <row r="437">
          <cell r="B437" t="str">
            <v>P7013</v>
          </cell>
          <cell r="C437" t="str">
            <v>Flavour Essence 香精</v>
          </cell>
          <cell r="D437" t="str">
            <v>Malaysia</v>
          </cell>
          <cell r="E437" t="str">
            <v>Pandan (FKJ)</v>
          </cell>
          <cell r="F437" t="str">
            <v>450 ML/BTL</v>
          </cell>
        </row>
        <row r="438">
          <cell r="B438" t="str">
            <v>P7014</v>
          </cell>
          <cell r="C438" t="str">
            <v>Flavour Essence 香精</v>
          </cell>
          <cell r="D438" t="str">
            <v>Holland</v>
          </cell>
          <cell r="E438" t="str">
            <v>2552 Strawberry</v>
          </cell>
          <cell r="F438" t="str">
            <v>450 ML/BTL</v>
          </cell>
        </row>
        <row r="439">
          <cell r="B439" t="str">
            <v>P7015</v>
          </cell>
          <cell r="C439" t="str">
            <v>Flavour Essence 香精</v>
          </cell>
          <cell r="E439" t="str">
            <v>Peach</v>
          </cell>
          <cell r="F439" t="str">
            <v>1 Lt/BTL</v>
          </cell>
        </row>
        <row r="440">
          <cell r="B440" t="str">
            <v>P7016</v>
          </cell>
          <cell r="C440" t="str">
            <v>Flavour Essence 香精</v>
          </cell>
          <cell r="D440" t="str">
            <v>Holland</v>
          </cell>
          <cell r="E440" t="str">
            <v>2552 Strawberry</v>
          </cell>
          <cell r="F440" t="str">
            <v>1 Lt/BTL</v>
          </cell>
        </row>
        <row r="441">
          <cell r="B441" t="str">
            <v>P7017</v>
          </cell>
          <cell r="C441" t="str">
            <v>Flavour Essence 香精</v>
          </cell>
          <cell r="D441" t="str">
            <v>Holland</v>
          </cell>
          <cell r="E441" t="str">
            <v>Orange</v>
          </cell>
          <cell r="F441" t="str">
            <v>1 Lt/BTL</v>
          </cell>
        </row>
        <row r="442">
          <cell r="B442" t="str">
            <v>P7018</v>
          </cell>
          <cell r="C442" t="str">
            <v>Flavour Essence 香精</v>
          </cell>
          <cell r="D442" t="str">
            <v>Holland</v>
          </cell>
          <cell r="E442" t="str">
            <v>2664 Pineapple</v>
          </cell>
          <cell r="F442" t="str">
            <v>1 Lt/BTL</v>
          </cell>
        </row>
        <row r="443">
          <cell r="B443" t="str">
            <v>P7019</v>
          </cell>
          <cell r="C443" t="str">
            <v>Flavour Essence 香精</v>
          </cell>
          <cell r="E443" t="str">
            <v>Banana 23</v>
          </cell>
          <cell r="F443" t="str">
            <v>450 ML/BTL</v>
          </cell>
        </row>
        <row r="444">
          <cell r="B444" t="str">
            <v>P7020</v>
          </cell>
          <cell r="C444" t="str">
            <v>Netual Cloudifier 白色精</v>
          </cell>
          <cell r="E444" t="str">
            <v>Cludly</v>
          </cell>
          <cell r="F444" t="str">
            <v>500 ml x12 BT/ Ctn</v>
          </cell>
        </row>
        <row r="445">
          <cell r="B445" t="str">
            <v>P7021</v>
          </cell>
          <cell r="C445" t="str">
            <v>Netual Cloudifier 白色精</v>
          </cell>
          <cell r="E445" t="str">
            <v>Cludly</v>
          </cell>
          <cell r="F445" t="str">
            <v>5 KGS</v>
          </cell>
        </row>
        <row r="446">
          <cell r="B446" t="str">
            <v>P7021A</v>
          </cell>
          <cell r="C446" t="str">
            <v>White Cloudy Agent 白色精</v>
          </cell>
          <cell r="E446" t="str">
            <v>Cloudy</v>
          </cell>
          <cell r="F446" t="str">
            <v>-</v>
          </cell>
        </row>
        <row r="447">
          <cell r="B447" t="str">
            <v>P7022</v>
          </cell>
          <cell r="C447" t="str">
            <v>Flavour Essence 香精</v>
          </cell>
          <cell r="E447" t="str">
            <v>GRASS JELLY</v>
          </cell>
          <cell r="F447" t="str">
            <v>1 KG</v>
          </cell>
        </row>
        <row r="448">
          <cell r="B448" t="str">
            <v>P7023</v>
          </cell>
          <cell r="C448" t="str">
            <v>Flavour Essence 香精</v>
          </cell>
          <cell r="E448" t="str">
            <v>Durian</v>
          </cell>
          <cell r="F448" t="str">
            <v>450ml</v>
          </cell>
        </row>
        <row r="449">
          <cell r="B449" t="str">
            <v>P7024</v>
          </cell>
          <cell r="C449" t="str">
            <v>Flavour Essence 香精</v>
          </cell>
          <cell r="E449" t="str">
            <v>Pandan (FKJ)</v>
          </cell>
          <cell r="F449" t="str">
            <v>1 lt/btl</v>
          </cell>
        </row>
        <row r="450">
          <cell r="B450" t="str">
            <v>P7025</v>
          </cell>
          <cell r="C450" t="str">
            <v>Almond Syrup 杏仁精</v>
          </cell>
          <cell r="D450" t="str">
            <v>Singapore</v>
          </cell>
          <cell r="E450" t="str">
            <v>Kwang Rong</v>
          </cell>
          <cell r="F450" t="str">
            <v>500 ml x12 Btl/ Ctn</v>
          </cell>
        </row>
        <row r="451">
          <cell r="B451" t="str">
            <v>P7025A</v>
          </cell>
          <cell r="C451" t="str">
            <v>Almond Syrup 杏仁精</v>
          </cell>
          <cell r="D451" t="str">
            <v>Singapore</v>
          </cell>
          <cell r="E451" t="str">
            <v>Kwang Rong</v>
          </cell>
          <cell r="F451" t="str">
            <v>500 ml</v>
          </cell>
        </row>
        <row r="452">
          <cell r="B452" t="str">
            <v>P7026</v>
          </cell>
          <cell r="C452" t="str">
            <v>Grass Jelly Flavouring</v>
          </cell>
          <cell r="D452" t="str">
            <v>Singapore</v>
          </cell>
          <cell r="E452" t="str">
            <v>Tosu</v>
          </cell>
          <cell r="F452" t="str">
            <v>1 kgs</v>
          </cell>
        </row>
        <row r="461">
          <cell r="B461" t="str">
            <v>R084</v>
          </cell>
          <cell r="C461" t="str">
            <v>MIXED SAGO 混色西谷</v>
          </cell>
          <cell r="D461" t="str">
            <v>Malaysia</v>
          </cell>
          <cell r="E461" t="str">
            <v>KHS</v>
          </cell>
          <cell r="F461" t="str">
            <v xml:space="preserve">300GM </v>
          </cell>
        </row>
        <row r="462">
          <cell r="B462" t="str">
            <v>R085</v>
          </cell>
          <cell r="C462" t="str">
            <v>CHINSU FISH SAUCE 金素味露</v>
          </cell>
          <cell r="F462" t="str">
            <v>500ML</v>
          </cell>
        </row>
        <row r="463">
          <cell r="B463" t="str">
            <v>R086</v>
          </cell>
          <cell r="C463" t="str">
            <v>VN TAM THAI TU SOY SAUCE 越南酱青</v>
          </cell>
          <cell r="F463" t="str">
            <v>500ML</v>
          </cell>
        </row>
        <row r="464">
          <cell r="B464" t="str">
            <v>R087</v>
          </cell>
          <cell r="C464" t="str">
            <v>VN SAFOCO RICE PAPER越 南米皮</v>
          </cell>
          <cell r="F464" t="str">
            <v>500GM X 10</v>
          </cell>
        </row>
        <row r="465">
          <cell r="B465" t="str">
            <v>R088</v>
          </cell>
          <cell r="C465" t="str">
            <v>VN SAFOCO FRESH RICE VERMICELL沙波歌米粉</v>
          </cell>
          <cell r="F465" t="str">
            <v>300GM X 15</v>
          </cell>
        </row>
        <row r="466">
          <cell r="B466" t="str">
            <v>R089</v>
          </cell>
          <cell r="C466" t="str">
            <v>VIETNAM VINA BANH NOODLE 越南粿条</v>
          </cell>
          <cell r="E466" t="str">
            <v>BLUE STRAP</v>
          </cell>
          <cell r="F466" t="str">
            <v>400GM X 20</v>
          </cell>
        </row>
        <row r="467">
          <cell r="B467" t="str">
            <v>R090</v>
          </cell>
          <cell r="C467" t="str">
            <v>WHITE PEPPER POWDER白胡椒粉</v>
          </cell>
          <cell r="F467" t="str">
            <v>25GM X 12</v>
          </cell>
        </row>
        <row r="468">
          <cell r="B468" t="str">
            <v>R091</v>
          </cell>
          <cell r="C468" t="str">
            <v>FINE PINK SALT 喜马拉雅粉盐</v>
          </cell>
          <cell r="F468" t="str">
            <v>500GM X 10</v>
          </cell>
        </row>
        <row r="469">
          <cell r="B469" t="str">
            <v>R092</v>
          </cell>
          <cell r="C469" t="str">
            <v>TAMARIND 亚参</v>
          </cell>
          <cell r="F469" t="str">
            <v>70 X 300GM</v>
          </cell>
        </row>
        <row r="470">
          <cell r="B470" t="str">
            <v>R093</v>
          </cell>
          <cell r="C470" t="str">
            <v>YELLOW Rock Suger黄冰糖</v>
          </cell>
          <cell r="F470" t="str">
            <v>400GM X 50</v>
          </cell>
        </row>
        <row r="471">
          <cell r="B471" t="str">
            <v>R094</v>
          </cell>
          <cell r="C471" t="str">
            <v>HUA TIAO WINE花彫酒</v>
          </cell>
          <cell r="F471" t="str">
            <v xml:space="preserve">640ML X 12 </v>
          </cell>
        </row>
        <row r="472">
          <cell r="B472" t="str">
            <v>R095</v>
          </cell>
          <cell r="C472" t="str">
            <v>BLACK SESAME SEED. 黑芝麻</v>
          </cell>
          <cell r="F472" t="str">
            <v>200 GMS</v>
          </cell>
        </row>
        <row r="473">
          <cell r="B473" t="str">
            <v>R096</v>
          </cell>
          <cell r="C473" t="str">
            <v>WHITE SEASAME 白芝麻</v>
          </cell>
          <cell r="F473" t="str">
            <v>200 GMS</v>
          </cell>
        </row>
        <row r="474">
          <cell r="B474" t="str">
            <v>R099</v>
          </cell>
          <cell r="C474" t="str">
            <v>WHITE PEPPER POWDER白胡椒粉</v>
          </cell>
          <cell r="F474" t="str">
            <v>10 PKTX 400GMS</v>
          </cell>
        </row>
        <row r="475">
          <cell r="B475" t="str">
            <v>R100</v>
          </cell>
          <cell r="C475" t="str">
            <v>HAO HAO INSTANT SPICY NOODLE</v>
          </cell>
          <cell r="F475" t="str">
            <v>75 GM X 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ykgaccount@yukee.com.sg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fj_procurement@breadtalk.com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fj_procurement@breadtalk.com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fj_procurement@breadtalk.com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j_procurement@breadtalk.com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fj_procurement@breadtalk.com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7.xml"/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fj_procurement@breadtalk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fj_procurement@breadtalk.com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fj_procurement@breadtalk.com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ykgaccount@yukee.com.sg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fj_procurement@breadtalk.com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fj_procurement@breadtalk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fj_procurement@breadtalk.com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ykgaccount@yukee.com.sg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530"/>
  <sheetViews>
    <sheetView zoomScaleNormal="100" workbookViewId="0">
      <pane xSplit="2" ySplit="2" topLeftCell="C216" activePane="bottomRight" state="frozen"/>
      <selection activeCell="K32" sqref="K32"/>
      <selection pane="topRight" activeCell="K32" sqref="K32"/>
      <selection pane="bottomLeft" activeCell="K32" sqref="K32"/>
      <selection pane="bottomRight" activeCell="A292" sqref="A292"/>
    </sheetView>
  </sheetViews>
  <sheetFormatPr defaultColWidth="8.7265625" defaultRowHeight="14.5" x14ac:dyDescent="0.35"/>
  <cols>
    <col min="1" max="1" width="15.26953125" customWidth="1"/>
    <col min="2" max="2" width="11.1796875" style="275" customWidth="1"/>
    <col min="3" max="3" width="47.54296875" style="275" customWidth="1"/>
    <col min="4" max="4" width="18.54296875" style="276" customWidth="1"/>
    <col min="5" max="5" width="15.7265625" style="275" customWidth="1"/>
    <col min="6" max="6" width="23.1796875" style="275" customWidth="1"/>
    <col min="7" max="7" width="8.7265625" style="275" customWidth="1"/>
    <col min="8" max="8" width="9.54296875" style="277" customWidth="1"/>
    <col min="9" max="9" width="11" style="4" customWidth="1"/>
    <col min="10" max="10" width="8.7265625" style="265" customWidth="1"/>
    <col min="11" max="36" width="8.7265625" style="4" customWidth="1"/>
    <col min="37" max="37" width="8.7265625" style="237" customWidth="1"/>
    <col min="38" max="38" width="8.7265625" style="162" customWidth="1"/>
    <col min="39" max="40" width="8.7265625" customWidth="1"/>
    <col min="41" max="42" width="8.7265625" style="4" customWidth="1"/>
    <col min="43" max="43" width="8.7265625" style="255" customWidth="1"/>
    <col min="44" max="55" width="8.7265625" style="4" customWidth="1"/>
    <col min="56" max="58" width="8.7265625" customWidth="1"/>
    <col min="59" max="59" width="10.7265625" style="162" customWidth="1"/>
    <col min="60" max="60" width="13.1796875" customWidth="1"/>
    <col min="61" max="61" width="9.81640625" customWidth="1"/>
    <col min="62" max="75" width="8.7265625" customWidth="1"/>
    <col min="76" max="76" width="8.7265625" style="4" customWidth="1"/>
    <col min="77" max="84" width="8.7265625" style="154" customWidth="1"/>
    <col min="85" max="85" width="8.7265625" customWidth="1"/>
    <col min="86" max="86" width="10" customWidth="1"/>
    <col min="87" max="96" width="8.7265625" customWidth="1"/>
    <col min="97" max="97" width="10.1796875" style="162" customWidth="1"/>
    <col min="98" max="104" width="8.7265625" customWidth="1"/>
    <col min="105" max="105" width="10.1796875" style="154" bestFit="1" customWidth="1"/>
  </cols>
  <sheetData>
    <row r="1" spans="1:112" ht="15" thickBot="1" x14ac:dyDescent="0.4">
      <c r="A1" s="347" t="s">
        <v>1910</v>
      </c>
      <c r="B1" s="350">
        <v>0.09</v>
      </c>
      <c r="E1" s="234"/>
      <c r="N1" s="4">
        <f>M1+1</f>
        <v>1</v>
      </c>
    </row>
    <row r="2" spans="1:112" ht="73" thickBot="1" x14ac:dyDescent="0.4">
      <c r="A2" s="239" t="s">
        <v>1509</v>
      </c>
      <c r="B2" s="266" t="s">
        <v>0</v>
      </c>
      <c r="C2" s="267" t="s">
        <v>1</v>
      </c>
      <c r="D2" s="269" t="s">
        <v>534</v>
      </c>
      <c r="E2" s="271" t="s">
        <v>53</v>
      </c>
      <c r="F2" s="271" t="s">
        <v>29</v>
      </c>
      <c r="G2" s="271" t="s">
        <v>30</v>
      </c>
      <c r="H2" s="250" t="s">
        <v>1896</v>
      </c>
      <c r="I2" s="251" t="s">
        <v>1510</v>
      </c>
      <c r="J2" s="268" t="s">
        <v>114</v>
      </c>
      <c r="K2" s="253" t="s">
        <v>1411</v>
      </c>
      <c r="L2" s="253" t="s">
        <v>146</v>
      </c>
      <c r="M2" s="253" t="s">
        <v>149</v>
      </c>
      <c r="N2" s="253" t="s">
        <v>416</v>
      </c>
      <c r="O2" s="253" t="s">
        <v>329</v>
      </c>
      <c r="P2" s="251" t="s">
        <v>1095</v>
      </c>
      <c r="Q2" s="252" t="s">
        <v>1738</v>
      </c>
      <c r="R2" s="253" t="s">
        <v>331</v>
      </c>
      <c r="S2" s="252" t="s">
        <v>1293</v>
      </c>
      <c r="T2" s="253" t="s">
        <v>1747</v>
      </c>
      <c r="U2" s="253" t="s">
        <v>2196</v>
      </c>
      <c r="V2" s="253" t="s">
        <v>2206</v>
      </c>
      <c r="W2" s="253" t="s">
        <v>162</v>
      </c>
      <c r="X2" s="253" t="s">
        <v>1323</v>
      </c>
      <c r="Y2" s="253" t="s">
        <v>1913</v>
      </c>
      <c r="Z2" s="253" t="s">
        <v>204</v>
      </c>
      <c r="AA2" s="406" t="s">
        <v>2240</v>
      </c>
      <c r="AB2" s="253" t="s">
        <v>208</v>
      </c>
      <c r="AC2" s="253" t="s">
        <v>209</v>
      </c>
      <c r="AD2" s="253" t="s">
        <v>1333</v>
      </c>
      <c r="AE2" s="253" t="s">
        <v>1350</v>
      </c>
      <c r="AF2" s="253" t="s">
        <v>1515</v>
      </c>
      <c r="AG2" s="253" t="s">
        <v>456</v>
      </c>
      <c r="AH2" s="254" t="s">
        <v>465</v>
      </c>
      <c r="AI2" s="253" t="s">
        <v>1909</v>
      </c>
      <c r="AJ2" s="253" t="s">
        <v>1360</v>
      </c>
      <c r="AK2" s="253" t="s">
        <v>1516</v>
      </c>
      <c r="AL2" s="163" t="s">
        <v>1890</v>
      </c>
      <c r="AM2" s="253" t="s">
        <v>476</v>
      </c>
      <c r="AN2" s="253" t="s">
        <v>508</v>
      </c>
      <c r="AO2" s="253" t="s">
        <v>514</v>
      </c>
      <c r="AP2" s="253" t="s">
        <v>520</v>
      </c>
      <c r="AQ2" s="256" t="s">
        <v>1721</v>
      </c>
      <c r="AR2" s="240" t="s">
        <v>517</v>
      </c>
      <c r="AS2" s="215" t="s">
        <v>518</v>
      </c>
      <c r="AT2" s="215" t="s">
        <v>521</v>
      </c>
      <c r="AU2" s="215" t="s">
        <v>522</v>
      </c>
      <c r="AV2" s="215" t="s">
        <v>516</v>
      </c>
      <c r="AW2" s="215" t="s">
        <v>526</v>
      </c>
      <c r="AX2" s="215" t="s">
        <v>523</v>
      </c>
      <c r="AY2" s="215" t="s">
        <v>1680</v>
      </c>
      <c r="AZ2" s="215" t="s">
        <v>1700</v>
      </c>
      <c r="BA2" s="215" t="s">
        <v>1681</v>
      </c>
      <c r="BB2" s="215" t="s">
        <v>524</v>
      </c>
      <c r="BC2" s="215" t="s">
        <v>525</v>
      </c>
      <c r="BD2" s="215" t="s">
        <v>530</v>
      </c>
      <c r="BE2" s="215" t="s">
        <v>1914</v>
      </c>
      <c r="BF2" s="215" t="s">
        <v>543</v>
      </c>
      <c r="BG2" s="164" t="s">
        <v>1518</v>
      </c>
      <c r="BH2" s="215" t="s">
        <v>1936</v>
      </c>
      <c r="BI2" s="215" t="s">
        <v>565</v>
      </c>
      <c r="BJ2" s="407" t="s">
        <v>2226</v>
      </c>
      <c r="BK2" s="215" t="s">
        <v>575</v>
      </c>
      <c r="BL2" s="215" t="s">
        <v>581</v>
      </c>
      <c r="BM2" s="215" t="s">
        <v>601</v>
      </c>
      <c r="BN2" s="215" t="s">
        <v>609</v>
      </c>
      <c r="BO2" s="215" t="s">
        <v>1791</v>
      </c>
      <c r="BP2" s="215" t="s">
        <v>623</v>
      </c>
      <c r="BQ2" s="215" t="s">
        <v>675</v>
      </c>
      <c r="BR2" s="407" t="s">
        <v>1678</v>
      </c>
      <c r="BS2" s="408" t="s">
        <v>2278</v>
      </c>
      <c r="BT2" s="408" t="s">
        <v>680</v>
      </c>
      <c r="BU2" s="155" t="s">
        <v>689</v>
      </c>
      <c r="BV2" s="408" t="s">
        <v>698</v>
      </c>
      <c r="BW2" s="408" t="s">
        <v>718</v>
      </c>
      <c r="BX2" s="215" t="s">
        <v>1071</v>
      </c>
      <c r="BY2" s="164" t="s">
        <v>1076</v>
      </c>
      <c r="BZ2" s="164" t="s">
        <v>1331</v>
      </c>
      <c r="CA2" s="164" t="s">
        <v>1112</v>
      </c>
      <c r="CB2" s="411" t="s">
        <v>1132</v>
      </c>
      <c r="CC2" s="164" t="s">
        <v>1142</v>
      </c>
      <c r="CD2" s="216" t="s">
        <v>1159</v>
      </c>
      <c r="CE2" s="164" t="s">
        <v>1185</v>
      </c>
      <c r="CF2" s="164" t="s">
        <v>1208</v>
      </c>
      <c r="CG2" s="241" t="s">
        <v>1414</v>
      </c>
      <c r="CH2" s="409" t="s">
        <v>1523</v>
      </c>
      <c r="CI2" s="410" t="s">
        <v>1529</v>
      </c>
      <c r="CJ2" s="354" t="s">
        <v>1979</v>
      </c>
      <c r="CK2" s="354" t="s">
        <v>1978</v>
      </c>
      <c r="CL2" s="354" t="s">
        <v>2021</v>
      </c>
      <c r="CM2" s="215" t="s">
        <v>2052</v>
      </c>
      <c r="CN2" s="215" t="s">
        <v>2053</v>
      </c>
      <c r="CO2" s="215" t="s">
        <v>2054</v>
      </c>
      <c r="CP2" s="354" t="s">
        <v>2062</v>
      </c>
      <c r="CQ2" s="354" t="s">
        <v>2063</v>
      </c>
      <c r="CR2" s="215" t="s">
        <v>2165</v>
      </c>
      <c r="CS2" s="235" t="s">
        <v>1911</v>
      </c>
      <c r="DA2" s="178">
        <v>44639</v>
      </c>
    </row>
    <row r="3" spans="1:112" ht="20" customHeight="1" x14ac:dyDescent="0.35">
      <c r="A3" s="278"/>
      <c r="B3" s="272" t="s">
        <v>721</v>
      </c>
      <c r="C3" s="272" t="s">
        <v>227</v>
      </c>
      <c r="D3" s="272" t="s">
        <v>535</v>
      </c>
      <c r="E3" s="272" t="s">
        <v>54</v>
      </c>
      <c r="F3" s="272" t="s">
        <v>2191</v>
      </c>
      <c r="G3" s="272" t="s">
        <v>39</v>
      </c>
      <c r="H3" s="279">
        <v>24.39</v>
      </c>
      <c r="I3" s="280"/>
      <c r="J3" s="280"/>
      <c r="K3" s="280"/>
      <c r="L3" s="280">
        <v>35</v>
      </c>
      <c r="M3" s="402"/>
      <c r="N3" s="281">
        <v>34</v>
      </c>
      <c r="O3" s="280">
        <v>34</v>
      </c>
      <c r="P3" s="281">
        <v>34</v>
      </c>
      <c r="Q3" s="280">
        <v>34</v>
      </c>
      <c r="R3" s="280">
        <v>34</v>
      </c>
      <c r="S3" s="280">
        <v>36</v>
      </c>
      <c r="T3" s="280"/>
      <c r="U3" s="280"/>
      <c r="V3" s="282"/>
      <c r="W3" s="280"/>
      <c r="X3" s="280"/>
      <c r="Y3" s="280"/>
      <c r="Z3" s="280">
        <v>34</v>
      </c>
      <c r="AA3" s="280"/>
      <c r="AB3" s="280"/>
      <c r="AC3" s="280">
        <v>34</v>
      </c>
      <c r="AD3" s="280"/>
      <c r="AE3" s="280"/>
      <c r="AF3" s="280"/>
      <c r="AG3" s="280"/>
      <c r="AH3" s="280"/>
      <c r="AI3" s="280"/>
      <c r="AJ3" s="280"/>
      <c r="AK3" s="283"/>
      <c r="AL3" s="284"/>
      <c r="AM3" s="283"/>
      <c r="AN3" s="283"/>
      <c r="AO3" s="283"/>
      <c r="AP3" s="280"/>
      <c r="AQ3" s="285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7"/>
      <c r="BE3" s="287"/>
      <c r="BF3" s="287"/>
      <c r="BG3" s="288">
        <v>36</v>
      </c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6"/>
      <c r="BY3" s="289"/>
      <c r="BZ3" s="289">
        <v>34</v>
      </c>
      <c r="CA3" s="289"/>
      <c r="CB3" s="289"/>
      <c r="CC3" s="289"/>
      <c r="CD3" s="289"/>
      <c r="CE3" s="289"/>
      <c r="CF3" s="289"/>
      <c r="CG3" s="287"/>
      <c r="CH3" s="283"/>
      <c r="CI3" s="287"/>
      <c r="CJ3" s="287"/>
      <c r="CK3" s="287"/>
      <c r="CL3" s="287"/>
      <c r="CM3" s="287"/>
      <c r="CN3" s="287"/>
      <c r="CO3" s="287"/>
      <c r="CP3" s="287"/>
      <c r="CQ3" s="287"/>
      <c r="CR3" s="287">
        <v>35</v>
      </c>
      <c r="CS3" s="348">
        <v>34</v>
      </c>
      <c r="CT3" s="6"/>
      <c r="CU3" s="6"/>
      <c r="CV3" s="6"/>
      <c r="CW3" s="6"/>
      <c r="CX3" s="6"/>
      <c r="CY3" s="6"/>
      <c r="CZ3" s="6"/>
      <c r="DA3" s="343">
        <f t="shared" ref="DA3:DA74" si="0">H3</f>
        <v>24.39</v>
      </c>
    </row>
    <row r="4" spans="1:112" ht="20" customHeight="1" x14ac:dyDescent="0.35">
      <c r="A4" s="290">
        <v>520718</v>
      </c>
      <c r="B4" s="270" t="s">
        <v>722</v>
      </c>
      <c r="C4" s="270" t="s">
        <v>227</v>
      </c>
      <c r="D4" s="297" t="s">
        <v>535</v>
      </c>
      <c r="E4" s="270" t="s">
        <v>54</v>
      </c>
      <c r="F4" s="270" t="s">
        <v>2192</v>
      </c>
      <c r="G4" s="270" t="s">
        <v>225</v>
      </c>
      <c r="H4" s="291">
        <v>25.63</v>
      </c>
      <c r="I4" s="300">
        <v>34</v>
      </c>
      <c r="J4" s="292">
        <v>31</v>
      </c>
      <c r="K4" s="286"/>
      <c r="L4" s="286"/>
      <c r="M4" s="286"/>
      <c r="N4" s="293"/>
      <c r="O4" s="286"/>
      <c r="P4" s="286"/>
      <c r="Q4" s="286"/>
      <c r="R4" s="286"/>
      <c r="S4" s="286"/>
      <c r="T4" s="286">
        <v>31</v>
      </c>
      <c r="U4" s="286">
        <v>31</v>
      </c>
      <c r="V4" s="294">
        <v>11</v>
      </c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>
        <v>31</v>
      </c>
      <c r="AJ4" s="286"/>
      <c r="AK4" s="295"/>
      <c r="AL4" s="286">
        <v>31</v>
      </c>
      <c r="AM4" s="287"/>
      <c r="AN4" s="287"/>
      <c r="AO4" s="286">
        <v>31</v>
      </c>
      <c r="AP4" s="286">
        <v>31</v>
      </c>
      <c r="AQ4" s="296"/>
      <c r="AR4" s="286">
        <v>31</v>
      </c>
      <c r="AS4" s="286"/>
      <c r="AT4" s="286">
        <v>31</v>
      </c>
      <c r="AU4" s="286">
        <v>31</v>
      </c>
      <c r="AV4" s="286">
        <v>31</v>
      </c>
      <c r="AW4" s="286"/>
      <c r="AX4" s="286">
        <v>31</v>
      </c>
      <c r="AY4" s="286">
        <v>31</v>
      </c>
      <c r="AZ4" s="286">
        <v>31</v>
      </c>
      <c r="BA4" s="286"/>
      <c r="BB4" s="286"/>
      <c r="BC4" s="286">
        <v>31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>
        <v>36</v>
      </c>
      <c r="BV4" s="287"/>
      <c r="BW4" s="287"/>
      <c r="BX4" s="286">
        <v>31</v>
      </c>
      <c r="BY4" s="289"/>
      <c r="BZ4" s="289"/>
      <c r="CA4" s="289"/>
      <c r="CB4" s="289"/>
      <c r="CC4" s="289"/>
      <c r="CD4" s="289"/>
      <c r="CE4" s="289"/>
      <c r="CF4" s="289"/>
      <c r="CG4" s="287"/>
      <c r="CH4" s="287"/>
      <c r="CI4" s="287"/>
      <c r="CJ4" s="287"/>
      <c r="CK4" s="287"/>
      <c r="CL4" s="287"/>
      <c r="CM4" s="286">
        <v>31</v>
      </c>
      <c r="CN4" s="286">
        <v>31</v>
      </c>
      <c r="CO4" s="292">
        <v>31</v>
      </c>
      <c r="CP4" s="287"/>
      <c r="CQ4" s="287">
        <v>34</v>
      </c>
      <c r="CR4" s="287"/>
      <c r="CS4" s="288">
        <v>36</v>
      </c>
      <c r="CT4" s="6"/>
      <c r="CU4" s="6"/>
      <c r="CV4" s="6"/>
      <c r="CW4" s="6"/>
      <c r="CX4" s="6"/>
      <c r="CY4" s="6"/>
      <c r="CZ4" s="6"/>
      <c r="DA4" s="343">
        <f t="shared" si="0"/>
        <v>25.63</v>
      </c>
      <c r="DH4" s="238">
        <v>33</v>
      </c>
    </row>
    <row r="5" spans="1:112" ht="20" customHeight="1" x14ac:dyDescent="0.35">
      <c r="A5" s="290"/>
      <c r="B5" s="270" t="s">
        <v>723</v>
      </c>
      <c r="C5" s="270" t="s">
        <v>227</v>
      </c>
      <c r="D5" s="297" t="s">
        <v>535</v>
      </c>
      <c r="E5" s="270" t="s">
        <v>54</v>
      </c>
      <c r="F5" s="270" t="s">
        <v>2193</v>
      </c>
      <c r="G5" s="270" t="s">
        <v>31</v>
      </c>
      <c r="H5" s="291">
        <v>5.18</v>
      </c>
      <c r="I5" s="292"/>
      <c r="J5" s="286"/>
      <c r="K5" s="286"/>
      <c r="L5" s="286"/>
      <c r="M5" s="286"/>
      <c r="N5" s="293"/>
      <c r="O5" s="286"/>
      <c r="P5" s="286"/>
      <c r="Q5" s="286"/>
      <c r="R5" s="286"/>
      <c r="S5" s="286"/>
      <c r="T5" s="286"/>
      <c r="U5" s="286"/>
      <c r="V5" s="294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7"/>
      <c r="AL5" s="288"/>
      <c r="AM5" s="287"/>
      <c r="AN5" s="287"/>
      <c r="AO5" s="286"/>
      <c r="AP5" s="286"/>
      <c r="AQ5" s="29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6"/>
      <c r="BY5" s="289"/>
      <c r="BZ5" s="289"/>
      <c r="CA5" s="289"/>
      <c r="CB5" s="289"/>
      <c r="CC5" s="289"/>
      <c r="CD5" s="289"/>
      <c r="CE5" s="289"/>
      <c r="CF5" s="289">
        <v>8</v>
      </c>
      <c r="CG5" s="287"/>
      <c r="CH5" s="287"/>
      <c r="CI5" s="287"/>
      <c r="CJ5" s="287"/>
      <c r="CK5" s="287"/>
      <c r="CL5" s="287">
        <v>12</v>
      </c>
      <c r="CM5" s="287"/>
      <c r="CN5" s="287"/>
      <c r="CO5" s="287"/>
      <c r="CP5" s="287"/>
      <c r="CQ5" s="287"/>
      <c r="CR5" s="287"/>
      <c r="CS5" s="6"/>
      <c r="CT5" s="6"/>
      <c r="CU5" s="6"/>
      <c r="CV5" s="6"/>
      <c r="CW5" s="6"/>
      <c r="CX5" s="6"/>
      <c r="CY5" s="6"/>
      <c r="CZ5" s="6"/>
      <c r="DA5" s="343">
        <f t="shared" si="0"/>
        <v>5.18</v>
      </c>
      <c r="DH5" s="238">
        <v>35</v>
      </c>
    </row>
    <row r="6" spans="1:112" ht="20" customHeight="1" x14ac:dyDescent="0.35">
      <c r="A6" s="290"/>
      <c r="B6" s="270" t="s">
        <v>1259</v>
      </c>
      <c r="C6" s="270" t="s">
        <v>227</v>
      </c>
      <c r="D6" s="297" t="s">
        <v>535</v>
      </c>
      <c r="E6" s="270" t="s">
        <v>627</v>
      </c>
      <c r="F6" s="270" t="s">
        <v>1826</v>
      </c>
      <c r="G6" s="270" t="s">
        <v>38</v>
      </c>
      <c r="H6" s="298">
        <f>(17+25)/2</f>
        <v>21</v>
      </c>
      <c r="I6" s="292"/>
      <c r="J6" s="286"/>
      <c r="K6" s="286"/>
      <c r="L6" s="286"/>
      <c r="M6" s="286"/>
      <c r="N6" s="293"/>
      <c r="O6" s="286"/>
      <c r="P6" s="286"/>
      <c r="Q6" s="286"/>
      <c r="R6" s="286"/>
      <c r="S6" s="286"/>
      <c r="T6" s="286"/>
      <c r="U6" s="286"/>
      <c r="V6" s="294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7"/>
      <c r="AL6" s="288"/>
      <c r="AM6" s="287"/>
      <c r="AN6" s="287"/>
      <c r="AO6" s="286"/>
      <c r="AP6" s="286"/>
      <c r="AQ6" s="29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6"/>
      <c r="BY6" s="289"/>
      <c r="BZ6" s="289"/>
      <c r="CA6" s="289"/>
      <c r="CB6" s="289"/>
      <c r="CC6" s="289"/>
      <c r="CD6" s="289"/>
      <c r="CE6" s="289"/>
      <c r="CF6" s="289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6"/>
      <c r="CT6" s="6"/>
      <c r="CU6" s="6"/>
      <c r="CV6" s="6"/>
      <c r="CW6" s="6"/>
      <c r="CX6" s="6"/>
      <c r="CY6" s="6"/>
      <c r="CZ6" s="6"/>
      <c r="DA6" s="343">
        <f t="shared" si="0"/>
        <v>21</v>
      </c>
      <c r="DH6" s="238">
        <v>9</v>
      </c>
    </row>
    <row r="7" spans="1:112" ht="20" customHeight="1" x14ac:dyDescent="0.35">
      <c r="A7" s="290"/>
      <c r="B7" s="270" t="s">
        <v>724</v>
      </c>
      <c r="C7" s="270" t="s">
        <v>1591</v>
      </c>
      <c r="D7" s="297" t="s">
        <v>535</v>
      </c>
      <c r="E7" s="270" t="s">
        <v>54</v>
      </c>
      <c r="F7" s="270" t="s">
        <v>2192</v>
      </c>
      <c r="G7" s="270" t="s">
        <v>225</v>
      </c>
      <c r="H7" s="298">
        <v>25.4</v>
      </c>
      <c r="I7" s="292">
        <v>35</v>
      </c>
      <c r="J7" s="292">
        <v>37</v>
      </c>
      <c r="K7" s="286"/>
      <c r="L7" s="286"/>
      <c r="M7" s="286"/>
      <c r="N7" s="286"/>
      <c r="O7" s="286"/>
      <c r="P7" s="286"/>
      <c r="Q7" s="286"/>
      <c r="R7" s="286"/>
      <c r="S7" s="286">
        <v>40</v>
      </c>
      <c r="T7" s="286">
        <v>37</v>
      </c>
      <c r="U7" s="286"/>
      <c r="V7" s="294">
        <v>40</v>
      </c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95"/>
      <c r="AL7" s="288"/>
      <c r="AM7" s="287"/>
      <c r="AN7" s="287"/>
      <c r="AO7" s="287"/>
      <c r="AP7" s="286">
        <v>37</v>
      </c>
      <c r="AQ7" s="296"/>
      <c r="AR7" s="286"/>
      <c r="AS7" s="286">
        <v>37</v>
      </c>
      <c r="AT7" s="286"/>
      <c r="AU7" s="286"/>
      <c r="AV7" s="286"/>
      <c r="AW7" s="286"/>
      <c r="AX7" s="286"/>
      <c r="AY7" s="286">
        <v>37</v>
      </c>
      <c r="AZ7" s="286">
        <v>37</v>
      </c>
      <c r="BA7" s="286"/>
      <c r="BB7" s="286"/>
      <c r="BC7" s="286">
        <v>37</v>
      </c>
      <c r="BD7" s="287"/>
      <c r="BE7" s="287"/>
      <c r="BF7" s="287"/>
      <c r="BG7" s="288">
        <v>38</v>
      </c>
      <c r="BH7" s="287"/>
      <c r="BI7" s="287"/>
      <c r="BJ7" s="287"/>
      <c r="BK7" s="287"/>
      <c r="BL7" s="287"/>
      <c r="BM7" s="287"/>
      <c r="BN7" s="287"/>
      <c r="BO7" s="287"/>
      <c r="BP7" s="287">
        <v>38</v>
      </c>
      <c r="BQ7" s="287"/>
      <c r="BR7" s="287"/>
      <c r="BS7" s="287"/>
      <c r="BT7" s="287"/>
      <c r="BU7" s="287"/>
      <c r="BV7" s="287"/>
      <c r="BW7" s="287"/>
      <c r="BX7" s="286"/>
      <c r="BY7" s="289"/>
      <c r="BZ7" s="289"/>
      <c r="CA7" s="289"/>
      <c r="CB7" s="289"/>
      <c r="CC7" s="289"/>
      <c r="CD7" s="289"/>
      <c r="CE7" s="289"/>
      <c r="CF7" s="289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>
        <v>38</v>
      </c>
      <c r="CR7" s="287">
        <v>38</v>
      </c>
      <c r="CS7" s="288">
        <v>35</v>
      </c>
      <c r="CT7" s="6"/>
      <c r="CU7" s="6"/>
      <c r="CV7" s="6"/>
      <c r="CW7" s="6"/>
      <c r="CX7" s="6"/>
      <c r="CY7" s="6"/>
      <c r="CZ7" s="6"/>
      <c r="DA7" s="343">
        <f t="shared" si="0"/>
        <v>25.4</v>
      </c>
      <c r="DH7" s="238">
        <v>8</v>
      </c>
    </row>
    <row r="8" spans="1:112" ht="20" customHeight="1" x14ac:dyDescent="0.35">
      <c r="A8" s="290"/>
      <c r="B8" s="270" t="s">
        <v>725</v>
      </c>
      <c r="C8" s="270" t="s">
        <v>1591</v>
      </c>
      <c r="D8" s="270" t="s">
        <v>535</v>
      </c>
      <c r="E8" s="270" t="s">
        <v>54</v>
      </c>
      <c r="F8" s="270" t="s">
        <v>2193</v>
      </c>
      <c r="G8" s="270" t="s">
        <v>31</v>
      </c>
      <c r="H8" s="298">
        <v>5.13</v>
      </c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>
        <v>10</v>
      </c>
      <c r="T8" s="286"/>
      <c r="U8" s="286"/>
      <c r="V8" s="294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7"/>
      <c r="AL8" s="288"/>
      <c r="AM8" s="287"/>
      <c r="AN8" s="287"/>
      <c r="AO8" s="287"/>
      <c r="AP8" s="286"/>
      <c r="AQ8" s="29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7"/>
      <c r="BE8" s="287"/>
      <c r="BF8" s="287"/>
      <c r="BG8" s="287"/>
      <c r="BH8" s="287"/>
      <c r="BI8" s="287"/>
      <c r="BJ8" s="287"/>
      <c r="BK8" s="299">
        <v>10</v>
      </c>
      <c r="BL8" s="287"/>
      <c r="BM8" s="287"/>
      <c r="BN8" s="287"/>
      <c r="BO8" s="287"/>
      <c r="BP8" s="287"/>
      <c r="BQ8" s="287"/>
      <c r="BR8" s="287"/>
      <c r="BS8" s="287"/>
      <c r="BT8" s="287">
        <v>10</v>
      </c>
      <c r="BU8" s="287"/>
      <c r="BV8" s="287"/>
      <c r="BW8" s="287"/>
      <c r="BX8" s="286"/>
      <c r="BY8" s="289">
        <v>10</v>
      </c>
      <c r="BZ8" s="289"/>
      <c r="CA8" s="289"/>
      <c r="CB8" s="289"/>
      <c r="CC8" s="289"/>
      <c r="CD8" s="289"/>
      <c r="CE8" s="289"/>
      <c r="CF8" s="289">
        <v>10</v>
      </c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6"/>
      <c r="CT8" s="6"/>
      <c r="CU8" s="6"/>
      <c r="CV8" s="6"/>
      <c r="CW8" s="6"/>
      <c r="CX8" s="6"/>
      <c r="CY8" s="6"/>
      <c r="CZ8" s="6"/>
      <c r="DA8" s="343">
        <f t="shared" si="0"/>
        <v>5.13</v>
      </c>
      <c r="DH8" s="238">
        <v>10</v>
      </c>
    </row>
    <row r="9" spans="1:112" ht="20" customHeight="1" x14ac:dyDescent="0.35">
      <c r="A9" s="290"/>
      <c r="B9" s="270" t="s">
        <v>1777</v>
      </c>
      <c r="C9" s="270" t="s">
        <v>1591</v>
      </c>
      <c r="D9" s="270" t="s">
        <v>535</v>
      </c>
      <c r="E9" s="270" t="s">
        <v>54</v>
      </c>
      <c r="F9" s="270" t="s">
        <v>2193</v>
      </c>
      <c r="G9" s="270" t="s">
        <v>31</v>
      </c>
      <c r="H9" s="298">
        <f>H7/5</f>
        <v>5.08</v>
      </c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94"/>
      <c r="W9" s="286"/>
      <c r="X9" s="286"/>
      <c r="Y9" s="286"/>
      <c r="Z9" s="286"/>
      <c r="AA9" s="286"/>
      <c r="AB9" s="286"/>
      <c r="AC9" s="286"/>
      <c r="AD9" s="300">
        <v>8</v>
      </c>
      <c r="AE9" s="286"/>
      <c r="AF9" s="286"/>
      <c r="AG9" s="286"/>
      <c r="AH9" s="286"/>
      <c r="AI9" s="286"/>
      <c r="AJ9" s="286"/>
      <c r="AK9" s="287"/>
      <c r="AL9" s="288"/>
      <c r="AM9" s="287"/>
      <c r="AN9" s="287"/>
      <c r="AO9" s="287"/>
      <c r="AP9" s="286"/>
      <c r="AQ9" s="29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7"/>
      <c r="BE9" s="287"/>
      <c r="BF9" s="287"/>
      <c r="BG9" s="287"/>
      <c r="BH9" s="287"/>
      <c r="BI9" s="287"/>
      <c r="BJ9" s="287"/>
      <c r="BK9" s="299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6"/>
      <c r="BY9" s="289"/>
      <c r="BZ9" s="289"/>
      <c r="CA9" s="289"/>
      <c r="CB9" s="289"/>
      <c r="CC9" s="289"/>
      <c r="CD9" s="289"/>
      <c r="CE9" s="289"/>
      <c r="CF9" s="289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6"/>
      <c r="CT9" s="6"/>
      <c r="CU9" s="6"/>
      <c r="CV9" s="6"/>
      <c r="CW9" s="6"/>
      <c r="CX9" s="6"/>
      <c r="CY9" s="6"/>
      <c r="CZ9" s="6"/>
      <c r="DA9" s="343">
        <f t="shared" si="0"/>
        <v>5.08</v>
      </c>
      <c r="DH9" s="238"/>
    </row>
    <row r="10" spans="1:112" ht="20" customHeight="1" x14ac:dyDescent="0.35">
      <c r="A10" s="290"/>
      <c r="B10" s="270" t="s">
        <v>1255</v>
      </c>
      <c r="C10" s="270" t="s">
        <v>1591</v>
      </c>
      <c r="D10" s="270"/>
      <c r="E10" s="270" t="s">
        <v>627</v>
      </c>
      <c r="F10" s="270" t="s">
        <v>1826</v>
      </c>
      <c r="G10" s="270" t="s">
        <v>38</v>
      </c>
      <c r="H10" s="298">
        <v>21</v>
      </c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94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7"/>
      <c r="AL10" s="288"/>
      <c r="AM10" s="287"/>
      <c r="AN10" s="287"/>
      <c r="AO10" s="287"/>
      <c r="AP10" s="286"/>
      <c r="AQ10" s="29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6"/>
      <c r="BY10" s="289"/>
      <c r="BZ10" s="289"/>
      <c r="CA10" s="289"/>
      <c r="CB10" s="289"/>
      <c r="CC10" s="289"/>
      <c r="CD10" s="289"/>
      <c r="CE10" s="289"/>
      <c r="CF10" s="289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6"/>
      <c r="CT10" s="6"/>
      <c r="CU10" s="6"/>
      <c r="CV10" s="6"/>
      <c r="CW10" s="6"/>
      <c r="CX10" s="6"/>
      <c r="CY10" s="6"/>
      <c r="CZ10" s="6"/>
      <c r="DA10" s="343">
        <f t="shared" si="0"/>
        <v>21</v>
      </c>
      <c r="DH10" s="238">
        <v>10</v>
      </c>
    </row>
    <row r="11" spans="1:112" ht="20" customHeight="1" x14ac:dyDescent="0.35">
      <c r="A11" s="290" t="s">
        <v>103</v>
      </c>
      <c r="B11" s="270" t="s">
        <v>726</v>
      </c>
      <c r="C11" s="270" t="s">
        <v>1897</v>
      </c>
      <c r="D11" s="297" t="s">
        <v>535</v>
      </c>
      <c r="E11" s="270" t="s">
        <v>54</v>
      </c>
      <c r="F11" s="270" t="s">
        <v>1580</v>
      </c>
      <c r="G11" s="270" t="s">
        <v>31</v>
      </c>
      <c r="H11" s="298">
        <v>4.71</v>
      </c>
      <c r="I11" s="300">
        <v>9</v>
      </c>
      <c r="J11" s="292">
        <v>7</v>
      </c>
      <c r="K11" s="286"/>
      <c r="L11" s="286"/>
      <c r="M11" s="286"/>
      <c r="N11" s="292">
        <v>9</v>
      </c>
      <c r="O11" s="286">
        <v>10</v>
      </c>
      <c r="P11" s="292">
        <v>9</v>
      </c>
      <c r="Q11" s="286">
        <v>9</v>
      </c>
      <c r="R11" s="286"/>
      <c r="S11" s="286">
        <v>10</v>
      </c>
      <c r="T11" s="286">
        <v>7</v>
      </c>
      <c r="U11" s="286">
        <v>7</v>
      </c>
      <c r="V11" s="294">
        <v>10</v>
      </c>
      <c r="W11" s="286"/>
      <c r="X11" s="286"/>
      <c r="Y11" s="286"/>
      <c r="Z11" s="286"/>
      <c r="AA11" s="286"/>
      <c r="AB11" s="286"/>
      <c r="AC11" s="286">
        <v>9</v>
      </c>
      <c r="AD11" s="286"/>
      <c r="AE11" s="286"/>
      <c r="AF11" s="286"/>
      <c r="AG11" s="286"/>
      <c r="AH11" s="286"/>
      <c r="AI11" s="286">
        <v>7</v>
      </c>
      <c r="AJ11" s="286"/>
      <c r="AK11" s="295"/>
      <c r="AL11" s="288"/>
      <c r="AM11" s="287"/>
      <c r="AN11" s="287"/>
      <c r="AO11" s="287"/>
      <c r="AP11" s="286">
        <v>7</v>
      </c>
      <c r="AQ11" s="296"/>
      <c r="AR11" s="286">
        <v>7</v>
      </c>
      <c r="AS11" s="286">
        <v>7</v>
      </c>
      <c r="AT11" s="286">
        <v>7</v>
      </c>
      <c r="AU11" s="286">
        <v>7</v>
      </c>
      <c r="AV11" s="286">
        <v>7</v>
      </c>
      <c r="AW11" s="286">
        <v>7</v>
      </c>
      <c r="AX11" s="286">
        <v>7</v>
      </c>
      <c r="AY11" s="286">
        <v>7</v>
      </c>
      <c r="AZ11" s="286">
        <v>7</v>
      </c>
      <c r="BA11" s="286">
        <v>7</v>
      </c>
      <c r="BB11" s="286">
        <f>BA11</f>
        <v>7</v>
      </c>
      <c r="BC11" s="286">
        <v>7</v>
      </c>
      <c r="BD11" s="287"/>
      <c r="BE11" s="287"/>
      <c r="BF11" s="287"/>
      <c r="BG11" s="288">
        <v>9</v>
      </c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>
        <v>9</v>
      </c>
      <c r="BU11" s="287"/>
      <c r="BV11" s="287"/>
      <c r="BW11" s="287"/>
      <c r="BX11" s="286">
        <f>J11</f>
        <v>7</v>
      </c>
      <c r="BY11" s="289"/>
      <c r="BZ11" s="289">
        <v>9</v>
      </c>
      <c r="CA11" s="289"/>
      <c r="CB11" s="289"/>
      <c r="CC11" s="289"/>
      <c r="CD11" s="289"/>
      <c r="CE11" s="289"/>
      <c r="CF11" s="289"/>
      <c r="CG11" s="287"/>
      <c r="CH11" s="287"/>
      <c r="CI11" s="287"/>
      <c r="CJ11" s="287"/>
      <c r="CK11" s="287"/>
      <c r="CL11" s="287"/>
      <c r="CM11" s="292">
        <v>7</v>
      </c>
      <c r="CN11" s="292">
        <v>7</v>
      </c>
      <c r="CO11" s="292">
        <v>7</v>
      </c>
      <c r="CP11" s="287"/>
      <c r="CQ11" s="287">
        <v>8</v>
      </c>
      <c r="CR11" s="287">
        <v>10</v>
      </c>
      <c r="CS11" s="288">
        <v>9</v>
      </c>
      <c r="CT11" s="6"/>
      <c r="CU11" s="6"/>
      <c r="CV11" s="6"/>
      <c r="CW11" s="6"/>
      <c r="CX11" s="6"/>
      <c r="CY11" s="6"/>
      <c r="CZ11" s="6"/>
      <c r="DA11" s="343">
        <f t="shared" si="0"/>
        <v>4.71</v>
      </c>
      <c r="DH11" s="238">
        <v>12</v>
      </c>
    </row>
    <row r="12" spans="1:112" ht="20" customHeight="1" x14ac:dyDescent="0.35">
      <c r="A12" s="290"/>
      <c r="B12" s="270" t="s">
        <v>1254</v>
      </c>
      <c r="C12" s="270" t="s">
        <v>1897</v>
      </c>
      <c r="D12" s="297"/>
      <c r="E12" s="270" t="s">
        <v>627</v>
      </c>
      <c r="F12" s="270" t="s">
        <v>1827</v>
      </c>
      <c r="G12" s="270" t="s">
        <v>38</v>
      </c>
      <c r="H12" s="298">
        <v>26</v>
      </c>
      <c r="I12" s="292"/>
      <c r="J12" s="286"/>
      <c r="K12" s="286"/>
      <c r="L12" s="286"/>
      <c r="M12" s="286"/>
      <c r="N12" s="292"/>
      <c r="O12" s="286"/>
      <c r="P12" s="292"/>
      <c r="Q12" s="286"/>
      <c r="R12" s="286"/>
      <c r="S12" s="286"/>
      <c r="T12" s="286"/>
      <c r="U12" s="286"/>
      <c r="V12" s="294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7"/>
      <c r="AL12" s="288"/>
      <c r="AM12" s="287"/>
      <c r="AN12" s="287"/>
      <c r="AO12" s="287"/>
      <c r="AP12" s="286"/>
      <c r="AQ12" s="29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6"/>
      <c r="BY12" s="289"/>
      <c r="BZ12" s="289"/>
      <c r="CA12" s="289"/>
      <c r="CB12" s="289"/>
      <c r="CC12" s="289"/>
      <c r="CD12" s="289"/>
      <c r="CE12" s="289"/>
      <c r="CF12" s="289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6"/>
      <c r="CT12" s="6"/>
      <c r="CU12" s="6"/>
      <c r="CV12" s="6"/>
      <c r="CW12" s="6"/>
      <c r="CX12" s="6"/>
      <c r="CY12" s="6"/>
      <c r="CZ12" s="6"/>
      <c r="DA12" s="343">
        <f t="shared" si="0"/>
        <v>26</v>
      </c>
      <c r="DH12" s="238">
        <v>12</v>
      </c>
    </row>
    <row r="13" spans="1:112" ht="20" customHeight="1" x14ac:dyDescent="0.35">
      <c r="A13" s="290">
        <v>520737</v>
      </c>
      <c r="B13" s="270" t="s">
        <v>727</v>
      </c>
      <c r="C13" s="270" t="s">
        <v>1898</v>
      </c>
      <c r="D13" s="297" t="s">
        <v>535</v>
      </c>
      <c r="E13" s="270" t="s">
        <v>54</v>
      </c>
      <c r="F13" s="270" t="s">
        <v>1580</v>
      </c>
      <c r="G13" s="270" t="s">
        <v>31</v>
      </c>
      <c r="H13" s="298">
        <v>2.15</v>
      </c>
      <c r="I13" s="292">
        <v>7</v>
      </c>
      <c r="J13" s="292">
        <v>7</v>
      </c>
      <c r="K13" s="286"/>
      <c r="L13" s="286"/>
      <c r="M13" s="286"/>
      <c r="N13" s="292">
        <v>8</v>
      </c>
      <c r="O13" s="286">
        <v>9</v>
      </c>
      <c r="P13" s="292">
        <v>8</v>
      </c>
      <c r="Q13" s="286">
        <v>8</v>
      </c>
      <c r="R13" s="286">
        <v>8</v>
      </c>
      <c r="S13" s="286">
        <v>8</v>
      </c>
      <c r="T13" s="286">
        <v>7</v>
      </c>
      <c r="U13" s="286">
        <v>7</v>
      </c>
      <c r="V13" s="294">
        <v>8</v>
      </c>
      <c r="W13" s="286"/>
      <c r="X13" s="286"/>
      <c r="Y13" s="286"/>
      <c r="Z13" s="286"/>
      <c r="AA13" s="286">
        <v>8</v>
      </c>
      <c r="AB13" s="286"/>
      <c r="AC13" s="286">
        <v>8</v>
      </c>
      <c r="AD13" s="286"/>
      <c r="AE13" s="286"/>
      <c r="AF13" s="286"/>
      <c r="AG13" s="286"/>
      <c r="AH13" s="286"/>
      <c r="AI13" s="286"/>
      <c r="AJ13" s="286"/>
      <c r="AK13" s="295"/>
      <c r="AL13" s="288"/>
      <c r="AM13" s="287"/>
      <c r="AN13" s="287"/>
      <c r="AO13" s="287"/>
      <c r="AP13" s="286">
        <v>7</v>
      </c>
      <c r="AQ13" s="296"/>
      <c r="AR13" s="286">
        <v>7</v>
      </c>
      <c r="AS13" s="286">
        <v>7</v>
      </c>
      <c r="AT13" s="286">
        <v>7</v>
      </c>
      <c r="AU13" s="286">
        <v>7</v>
      </c>
      <c r="AV13" s="286">
        <v>7</v>
      </c>
      <c r="AW13" s="286">
        <v>7</v>
      </c>
      <c r="AX13" s="286">
        <v>7</v>
      </c>
      <c r="AY13" s="286">
        <v>7</v>
      </c>
      <c r="AZ13" s="286">
        <v>7</v>
      </c>
      <c r="BA13" s="286">
        <v>7</v>
      </c>
      <c r="BB13" s="286">
        <v>7</v>
      </c>
      <c r="BC13" s="286">
        <v>7</v>
      </c>
      <c r="BD13" s="287"/>
      <c r="BE13" s="287"/>
      <c r="BF13" s="287"/>
      <c r="BG13" s="288">
        <v>8</v>
      </c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>
        <v>8</v>
      </c>
      <c r="BU13" s="287"/>
      <c r="BV13" s="287"/>
      <c r="BW13" s="287"/>
      <c r="BX13" s="286">
        <f>J13</f>
        <v>7</v>
      </c>
      <c r="BY13" s="289">
        <v>8</v>
      </c>
      <c r="BZ13" s="289">
        <v>8</v>
      </c>
      <c r="CA13" s="289"/>
      <c r="CB13" s="289"/>
      <c r="CC13" s="289"/>
      <c r="CD13" s="289"/>
      <c r="CE13" s="289"/>
      <c r="CF13" s="289"/>
      <c r="CG13" s="287"/>
      <c r="CH13" s="287"/>
      <c r="CI13" s="287"/>
      <c r="CJ13" s="287"/>
      <c r="CK13" s="287"/>
      <c r="CL13" s="287">
        <v>10</v>
      </c>
      <c r="CM13" s="292">
        <v>7</v>
      </c>
      <c r="CN13" s="292">
        <v>7</v>
      </c>
      <c r="CO13" s="292">
        <v>7</v>
      </c>
      <c r="CP13" s="287"/>
      <c r="CQ13" s="287">
        <v>7</v>
      </c>
      <c r="CR13" s="287">
        <v>9</v>
      </c>
      <c r="CS13" s="288">
        <v>8</v>
      </c>
      <c r="CT13" s="6"/>
      <c r="CU13" s="6"/>
      <c r="CV13" s="6"/>
      <c r="CW13" s="6"/>
      <c r="CX13" s="6"/>
      <c r="CY13" s="6"/>
      <c r="CZ13" s="6"/>
      <c r="DA13" s="343">
        <f t="shared" si="0"/>
        <v>2.15</v>
      </c>
      <c r="DH13" s="238">
        <v>7</v>
      </c>
    </row>
    <row r="14" spans="1:112" ht="20" customHeight="1" x14ac:dyDescent="0.35">
      <c r="A14" s="290" t="s">
        <v>1555</v>
      </c>
      <c r="B14" s="270" t="s">
        <v>728</v>
      </c>
      <c r="C14" s="270" t="s">
        <v>1563</v>
      </c>
      <c r="D14" s="297" t="s">
        <v>535</v>
      </c>
      <c r="E14" s="270" t="s">
        <v>54</v>
      </c>
      <c r="F14" s="270" t="s">
        <v>1580</v>
      </c>
      <c r="G14" s="270" t="s">
        <v>31</v>
      </c>
      <c r="H14" s="298">
        <v>4.68</v>
      </c>
      <c r="I14" s="300">
        <v>8</v>
      </c>
      <c r="J14" s="292">
        <v>0</v>
      </c>
      <c r="K14" s="286"/>
      <c r="L14" s="286"/>
      <c r="M14" s="286"/>
      <c r="N14" s="286"/>
      <c r="O14" s="286">
        <v>10</v>
      </c>
      <c r="P14" s="292">
        <v>10</v>
      </c>
      <c r="Q14" s="286">
        <v>10</v>
      </c>
      <c r="R14" s="286"/>
      <c r="S14" s="286"/>
      <c r="T14" s="286"/>
      <c r="U14" s="286"/>
      <c r="V14" s="294">
        <v>10</v>
      </c>
      <c r="W14" s="286">
        <v>10</v>
      </c>
      <c r="X14" s="286"/>
      <c r="Y14" s="286"/>
      <c r="Z14" s="286"/>
      <c r="AA14" s="286"/>
      <c r="AB14" s="286"/>
      <c r="AC14" s="286">
        <v>9</v>
      </c>
      <c r="AD14" s="286"/>
      <c r="AE14" s="286"/>
      <c r="AF14" s="286"/>
      <c r="AG14" s="286"/>
      <c r="AH14" s="286"/>
      <c r="AI14" s="286"/>
      <c r="AJ14" s="286"/>
      <c r="AK14" s="295"/>
      <c r="AL14" s="288"/>
      <c r="AM14" s="287"/>
      <c r="AN14" s="287"/>
      <c r="AO14" s="287"/>
      <c r="AP14" s="286"/>
      <c r="AQ14" s="29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7"/>
      <c r="BE14" s="287"/>
      <c r="BF14" s="287"/>
      <c r="BG14" s="288">
        <v>10</v>
      </c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6"/>
      <c r="BY14" s="289">
        <v>9</v>
      </c>
      <c r="BZ14" s="289"/>
      <c r="CA14" s="289"/>
      <c r="CB14" s="289"/>
      <c r="CC14" s="289"/>
      <c r="CD14" s="289"/>
      <c r="CE14" s="289"/>
      <c r="CF14" s="289"/>
      <c r="CG14" s="287"/>
      <c r="CH14" s="287"/>
      <c r="CI14" s="287"/>
      <c r="CJ14" s="287"/>
      <c r="CK14" s="287"/>
      <c r="CL14" s="287">
        <v>12</v>
      </c>
      <c r="CM14" s="287"/>
      <c r="CN14" s="287"/>
      <c r="CO14" s="287"/>
      <c r="CP14" s="287"/>
      <c r="CQ14" s="287">
        <v>10</v>
      </c>
      <c r="CR14" s="287"/>
      <c r="CS14" s="296">
        <v>9</v>
      </c>
      <c r="CT14" s="6"/>
      <c r="CU14" s="6"/>
      <c r="CV14" s="6"/>
      <c r="CW14" s="6"/>
      <c r="CX14" s="6"/>
      <c r="CY14" s="6"/>
      <c r="CZ14" s="6"/>
      <c r="DA14" s="343">
        <f t="shared" si="0"/>
        <v>4.68</v>
      </c>
      <c r="DH14" s="238">
        <v>7</v>
      </c>
    </row>
    <row r="15" spans="1:112" ht="20" customHeight="1" x14ac:dyDescent="0.35">
      <c r="A15" s="301"/>
      <c r="B15" s="270" t="s">
        <v>729</v>
      </c>
      <c r="C15" s="270" t="s">
        <v>1564</v>
      </c>
      <c r="D15" s="297" t="s">
        <v>535</v>
      </c>
      <c r="E15" s="270" t="s">
        <v>34</v>
      </c>
      <c r="F15" s="270" t="s">
        <v>1580</v>
      </c>
      <c r="G15" s="270" t="s">
        <v>31</v>
      </c>
      <c r="H15" s="298">
        <v>5</v>
      </c>
      <c r="I15" s="286">
        <v>0</v>
      </c>
      <c r="J15" s="286"/>
      <c r="K15" s="286"/>
      <c r="L15" s="286"/>
      <c r="M15" s="286"/>
      <c r="N15" s="286"/>
      <c r="O15" s="286">
        <v>6</v>
      </c>
      <c r="P15" s="292">
        <v>6</v>
      </c>
      <c r="Q15" s="286">
        <v>7</v>
      </c>
      <c r="R15" s="286"/>
      <c r="S15" s="286"/>
      <c r="T15" s="286"/>
      <c r="U15" s="286"/>
      <c r="V15" s="294"/>
      <c r="W15" s="286"/>
      <c r="X15" s="286"/>
      <c r="Y15" s="286"/>
      <c r="Z15" s="286"/>
      <c r="AA15" s="286"/>
      <c r="AB15" s="286"/>
      <c r="AC15" s="286">
        <v>6</v>
      </c>
      <c r="AD15" s="286"/>
      <c r="AE15" s="286"/>
      <c r="AF15" s="286"/>
      <c r="AG15" s="286"/>
      <c r="AH15" s="286"/>
      <c r="AI15" s="286"/>
      <c r="AJ15" s="286"/>
      <c r="AK15" s="287"/>
      <c r="AL15" s="288"/>
      <c r="AM15" s="287"/>
      <c r="AN15" s="287"/>
      <c r="AO15" s="287"/>
      <c r="AP15" s="286"/>
      <c r="AQ15" s="29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7"/>
      <c r="BE15" s="287"/>
      <c r="BF15" s="287"/>
      <c r="BG15" s="288">
        <v>8</v>
      </c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6"/>
      <c r="BY15" s="289"/>
      <c r="BZ15" s="289"/>
      <c r="CA15" s="289"/>
      <c r="CB15" s="289"/>
      <c r="CC15" s="289"/>
      <c r="CD15" s="289"/>
      <c r="CE15" s="289"/>
      <c r="CF15" s="289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302">
        <v>10</v>
      </c>
      <c r="CT15" s="6"/>
      <c r="CU15" s="6"/>
      <c r="CV15" s="6"/>
      <c r="CW15" s="6"/>
      <c r="CX15" s="6"/>
      <c r="CY15" s="6"/>
      <c r="CZ15" s="6"/>
      <c r="DA15" s="343">
        <f t="shared" si="0"/>
        <v>5</v>
      </c>
      <c r="DH15" s="238">
        <v>14</v>
      </c>
    </row>
    <row r="16" spans="1:112" ht="20" customHeight="1" x14ac:dyDescent="0.35">
      <c r="A16" s="290"/>
      <c r="B16" s="270" t="s">
        <v>730</v>
      </c>
      <c r="C16" s="270" t="s">
        <v>658</v>
      </c>
      <c r="D16" s="297" t="s">
        <v>535</v>
      </c>
      <c r="E16" s="270" t="s">
        <v>34</v>
      </c>
      <c r="F16" s="270" t="s">
        <v>1580</v>
      </c>
      <c r="G16" s="270" t="s">
        <v>31</v>
      </c>
      <c r="H16" s="298">
        <v>6.5</v>
      </c>
      <c r="I16" s="292">
        <v>10</v>
      </c>
      <c r="J16" s="286"/>
      <c r="K16" s="286"/>
      <c r="L16" s="286"/>
      <c r="M16" s="286"/>
      <c r="N16" s="286"/>
      <c r="O16" s="286">
        <v>7</v>
      </c>
      <c r="P16" s="292">
        <v>7</v>
      </c>
      <c r="Q16" s="286">
        <v>7</v>
      </c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>
        <v>7</v>
      </c>
      <c r="AD16" s="286"/>
      <c r="AE16" s="286"/>
      <c r="AF16" s="286"/>
      <c r="AG16" s="286"/>
      <c r="AH16" s="286"/>
      <c r="AI16" s="286"/>
      <c r="AJ16" s="286"/>
      <c r="AK16" s="295"/>
      <c r="AL16" s="288"/>
      <c r="AM16" s="287"/>
      <c r="AN16" s="287"/>
      <c r="AO16" s="287"/>
      <c r="AP16" s="286"/>
      <c r="AQ16" s="29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7"/>
      <c r="BE16" s="287"/>
      <c r="BF16" s="287"/>
      <c r="BG16" s="288">
        <v>10</v>
      </c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6"/>
      <c r="BY16" s="289"/>
      <c r="BZ16" s="289"/>
      <c r="CA16" s="289"/>
      <c r="CB16" s="289"/>
      <c r="CC16" s="289"/>
      <c r="CD16" s="289"/>
      <c r="CE16" s="289"/>
      <c r="CF16" s="289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96">
        <v>10</v>
      </c>
      <c r="CT16" s="6"/>
      <c r="CU16" s="6"/>
      <c r="CV16" s="6"/>
      <c r="CW16" s="6"/>
      <c r="CX16" s="6"/>
      <c r="CY16" s="6"/>
      <c r="CZ16" s="6"/>
      <c r="DA16" s="343">
        <f t="shared" si="0"/>
        <v>6.5</v>
      </c>
      <c r="DH16" s="238">
        <v>8</v>
      </c>
    </row>
    <row r="17" spans="1:112" ht="20" customHeight="1" x14ac:dyDescent="0.35">
      <c r="A17" s="290"/>
      <c r="B17" s="270" t="s">
        <v>731</v>
      </c>
      <c r="C17" s="270" t="s">
        <v>659</v>
      </c>
      <c r="D17" s="297" t="s">
        <v>535</v>
      </c>
      <c r="E17" s="270" t="s">
        <v>34</v>
      </c>
      <c r="F17" s="270" t="s">
        <v>1580</v>
      </c>
      <c r="G17" s="270" t="s">
        <v>31</v>
      </c>
      <c r="H17" s="298">
        <v>8</v>
      </c>
      <c r="I17" s="292">
        <v>12</v>
      </c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>
        <v>8</v>
      </c>
      <c r="AD17" s="286"/>
      <c r="AE17" s="286"/>
      <c r="AF17" s="286"/>
      <c r="AG17" s="286"/>
      <c r="AH17" s="286"/>
      <c r="AI17" s="286"/>
      <c r="AJ17" s="286"/>
      <c r="AK17" s="295"/>
      <c r="AL17" s="288"/>
      <c r="AM17" s="287"/>
      <c r="AN17" s="287"/>
      <c r="AO17" s="287"/>
      <c r="AP17" s="286"/>
      <c r="AQ17" s="29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7"/>
      <c r="BE17" s="287"/>
      <c r="BF17" s="287"/>
      <c r="BG17" s="288">
        <v>12</v>
      </c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6"/>
      <c r="BY17" s="289"/>
      <c r="BZ17" s="289"/>
      <c r="CA17" s="289"/>
      <c r="CB17" s="289"/>
      <c r="CC17" s="289"/>
      <c r="CD17" s="289"/>
      <c r="CE17" s="289"/>
      <c r="CF17" s="289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96">
        <v>12</v>
      </c>
      <c r="CT17" s="6"/>
      <c r="CU17" s="6"/>
      <c r="CV17" s="6"/>
      <c r="CW17" s="6"/>
      <c r="CX17" s="6"/>
      <c r="CY17" s="6"/>
      <c r="CZ17" s="6"/>
      <c r="DA17" s="343">
        <f t="shared" si="0"/>
        <v>8</v>
      </c>
      <c r="DH17" s="238">
        <v>7</v>
      </c>
    </row>
    <row r="18" spans="1:112" ht="20" customHeight="1" x14ac:dyDescent="0.35">
      <c r="A18" s="290"/>
      <c r="B18" s="270" t="s">
        <v>732</v>
      </c>
      <c r="C18" s="270" t="s">
        <v>281</v>
      </c>
      <c r="D18" s="297" t="s">
        <v>535</v>
      </c>
      <c r="E18" s="270" t="s">
        <v>34</v>
      </c>
      <c r="F18" s="270" t="s">
        <v>1580</v>
      </c>
      <c r="G18" s="270" t="s">
        <v>31</v>
      </c>
      <c r="H18" s="298">
        <v>5.5</v>
      </c>
      <c r="I18" s="292">
        <v>12</v>
      </c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93">
        <v>12</v>
      </c>
      <c r="W18" s="286"/>
      <c r="X18" s="286"/>
      <c r="Y18" s="286"/>
      <c r="Z18" s="286"/>
      <c r="AA18" s="286"/>
      <c r="AB18" s="286"/>
      <c r="AC18" s="286">
        <v>8</v>
      </c>
      <c r="AD18" s="286"/>
      <c r="AE18" s="286"/>
      <c r="AF18" s="286"/>
      <c r="AG18" s="286"/>
      <c r="AH18" s="286"/>
      <c r="AI18" s="286"/>
      <c r="AJ18" s="286"/>
      <c r="AK18" s="295"/>
      <c r="AL18" s="288"/>
      <c r="AM18" s="287"/>
      <c r="AN18" s="287"/>
      <c r="AO18" s="287"/>
      <c r="AP18" s="286"/>
      <c r="AQ18" s="29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7"/>
      <c r="BE18" s="287"/>
      <c r="BF18" s="287"/>
      <c r="BG18" s="288">
        <v>12</v>
      </c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6"/>
      <c r="BY18" s="289"/>
      <c r="BZ18" s="289"/>
      <c r="CA18" s="289"/>
      <c r="CB18" s="289"/>
      <c r="CC18" s="289"/>
      <c r="CD18" s="289"/>
      <c r="CE18" s="289"/>
      <c r="CF18" s="289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>
        <v>12</v>
      </c>
      <c r="CR18" s="287"/>
      <c r="CS18" s="296">
        <v>12</v>
      </c>
      <c r="CT18" s="6"/>
      <c r="CU18" s="6"/>
      <c r="CV18" s="6"/>
      <c r="CW18" s="6"/>
      <c r="CX18" s="6"/>
      <c r="CY18" s="6"/>
      <c r="CZ18" s="6"/>
      <c r="DA18" s="343">
        <f t="shared" si="0"/>
        <v>5.5</v>
      </c>
      <c r="DH18" s="238">
        <v>8</v>
      </c>
    </row>
    <row r="19" spans="1:112" ht="20" customHeight="1" x14ac:dyDescent="0.35">
      <c r="A19" s="301"/>
      <c r="B19" s="270" t="s">
        <v>733</v>
      </c>
      <c r="C19" s="270" t="s">
        <v>2068</v>
      </c>
      <c r="D19" s="297" t="s">
        <v>535</v>
      </c>
      <c r="E19" s="270" t="s">
        <v>54</v>
      </c>
      <c r="F19" s="270" t="s">
        <v>1580</v>
      </c>
      <c r="G19" s="270" t="s">
        <v>31</v>
      </c>
      <c r="H19" s="298">
        <v>4</v>
      </c>
      <c r="I19" s="286">
        <v>12</v>
      </c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>
        <v>8</v>
      </c>
      <c r="AD19" s="286"/>
      <c r="AE19" s="286"/>
      <c r="AF19" s="286"/>
      <c r="AG19" s="286"/>
      <c r="AH19" s="286"/>
      <c r="AI19" s="286"/>
      <c r="AJ19" s="286">
        <v>9</v>
      </c>
      <c r="AK19" s="287"/>
      <c r="AL19" s="288"/>
      <c r="AM19" s="287"/>
      <c r="AN19" s="287"/>
      <c r="AO19" s="287"/>
      <c r="AP19" s="286"/>
      <c r="AQ19" s="29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7"/>
      <c r="BE19" s="287"/>
      <c r="BF19" s="287"/>
      <c r="BG19" s="288">
        <v>8</v>
      </c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6"/>
      <c r="BY19" s="289"/>
      <c r="BZ19" s="289"/>
      <c r="CA19" s="289"/>
      <c r="CB19" s="289"/>
      <c r="CC19" s="289"/>
      <c r="CD19" s="289"/>
      <c r="CE19" s="289"/>
      <c r="CF19" s="289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>
        <v>10</v>
      </c>
      <c r="CR19" s="287"/>
      <c r="CS19" s="281">
        <v>6.5</v>
      </c>
      <c r="CT19" s="6"/>
      <c r="CU19" s="6"/>
      <c r="CV19" s="6"/>
      <c r="CW19" s="6"/>
      <c r="CX19" s="6"/>
      <c r="CY19" s="6"/>
      <c r="CZ19" s="6"/>
      <c r="DA19" s="343">
        <f t="shared" si="0"/>
        <v>4</v>
      </c>
      <c r="DH19" s="238">
        <v>9</v>
      </c>
    </row>
    <row r="20" spans="1:112" ht="20" customHeight="1" x14ac:dyDescent="0.35">
      <c r="A20" s="301"/>
      <c r="B20" s="270" t="s">
        <v>734</v>
      </c>
      <c r="C20" s="270" t="s">
        <v>280</v>
      </c>
      <c r="D20" s="297" t="s">
        <v>535</v>
      </c>
      <c r="E20" s="270" t="s">
        <v>34</v>
      </c>
      <c r="F20" s="270" t="s">
        <v>1580</v>
      </c>
      <c r="G20" s="270" t="s">
        <v>31</v>
      </c>
      <c r="H20" s="298">
        <f>AVERAGE(I20:BC20)</f>
        <v>0</v>
      </c>
      <c r="I20" s="286">
        <v>0</v>
      </c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7"/>
      <c r="AL20" s="288"/>
      <c r="AM20" s="287"/>
      <c r="AN20" s="287"/>
      <c r="AO20" s="287"/>
      <c r="AP20" s="286"/>
      <c r="AQ20" s="29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7"/>
      <c r="BE20" s="287"/>
      <c r="BF20" s="287"/>
      <c r="BG20" s="287">
        <v>0</v>
      </c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6"/>
      <c r="BY20" s="289"/>
      <c r="BZ20" s="289"/>
      <c r="CA20" s="289"/>
      <c r="CB20" s="289"/>
      <c r="CC20" s="289"/>
      <c r="CD20" s="289"/>
      <c r="CE20" s="289"/>
      <c r="CF20" s="289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92">
        <v>10</v>
      </c>
      <c r="CT20" s="6"/>
      <c r="CU20" s="6"/>
      <c r="CV20" s="6"/>
      <c r="CW20" s="6"/>
      <c r="CX20" s="6"/>
      <c r="CY20" s="6"/>
      <c r="CZ20" s="6"/>
      <c r="DA20" s="343">
        <f t="shared" si="0"/>
        <v>0</v>
      </c>
      <c r="DH20" s="238">
        <v>4</v>
      </c>
    </row>
    <row r="21" spans="1:112" ht="20" customHeight="1" x14ac:dyDescent="0.35">
      <c r="A21" s="301"/>
      <c r="B21" s="270" t="s">
        <v>735</v>
      </c>
      <c r="C21" s="270" t="s">
        <v>1324</v>
      </c>
      <c r="D21" s="297" t="s">
        <v>535</v>
      </c>
      <c r="E21" s="270" t="s">
        <v>34</v>
      </c>
      <c r="F21" s="270" t="s">
        <v>1582</v>
      </c>
      <c r="G21" s="270" t="s">
        <v>38</v>
      </c>
      <c r="H21" s="298">
        <v>6</v>
      </c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>
        <v>7</v>
      </c>
      <c r="AD21" s="286"/>
      <c r="AE21" s="286"/>
      <c r="AF21" s="286"/>
      <c r="AG21" s="286"/>
      <c r="AH21" s="286"/>
      <c r="AI21" s="286"/>
      <c r="AJ21" s="286"/>
      <c r="AK21" s="287"/>
      <c r="AL21" s="288"/>
      <c r="AM21" s="287"/>
      <c r="AN21" s="287"/>
      <c r="AO21" s="287"/>
      <c r="AP21" s="286"/>
      <c r="AQ21" s="29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7"/>
      <c r="BE21" s="287"/>
      <c r="BF21" s="287"/>
      <c r="BG21" s="288">
        <v>8</v>
      </c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6"/>
      <c r="BY21" s="289"/>
      <c r="BZ21" s="289"/>
      <c r="CA21" s="289"/>
      <c r="CB21" s="289"/>
      <c r="CC21" s="289"/>
      <c r="CD21" s="289"/>
      <c r="CE21" s="289"/>
      <c r="CF21" s="289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303">
        <v>14</v>
      </c>
      <c r="CT21" s="6"/>
      <c r="CU21" s="6"/>
      <c r="CV21" s="6"/>
      <c r="CW21" s="6"/>
      <c r="CX21" s="6"/>
      <c r="CY21" s="6"/>
      <c r="CZ21" s="6"/>
      <c r="DA21" s="343">
        <f t="shared" si="0"/>
        <v>6</v>
      </c>
      <c r="DH21" s="238">
        <v>5.5</v>
      </c>
    </row>
    <row r="22" spans="1:112" ht="20" customHeight="1" x14ac:dyDescent="0.35">
      <c r="A22" s="290">
        <v>520699</v>
      </c>
      <c r="B22" s="270" t="s">
        <v>736</v>
      </c>
      <c r="C22" s="270" t="s">
        <v>661</v>
      </c>
      <c r="D22" s="297" t="s">
        <v>535</v>
      </c>
      <c r="E22" s="270" t="s">
        <v>54</v>
      </c>
      <c r="F22" s="270" t="s">
        <v>1581</v>
      </c>
      <c r="G22" s="270" t="s">
        <v>39</v>
      </c>
      <c r="H22" s="298">
        <v>0.89</v>
      </c>
      <c r="I22" s="292">
        <v>6</v>
      </c>
      <c r="J22" s="292">
        <v>6</v>
      </c>
      <c r="K22" s="286"/>
      <c r="L22" s="286"/>
      <c r="M22" s="286"/>
      <c r="N22" s="286"/>
      <c r="O22" s="286">
        <v>7</v>
      </c>
      <c r="P22" s="292">
        <v>7</v>
      </c>
      <c r="Q22" s="286">
        <v>6</v>
      </c>
      <c r="R22" s="286"/>
      <c r="S22" s="286">
        <v>7</v>
      </c>
      <c r="T22" s="286">
        <v>6</v>
      </c>
      <c r="U22" s="286"/>
      <c r="V22" s="294">
        <v>8</v>
      </c>
      <c r="W22" s="286"/>
      <c r="X22" s="286">
        <v>8</v>
      </c>
      <c r="Y22" s="286">
        <v>6.5</v>
      </c>
      <c r="Z22" s="286">
        <v>6.5</v>
      </c>
      <c r="AA22" s="286"/>
      <c r="AB22" s="286"/>
      <c r="AC22" s="286">
        <v>6</v>
      </c>
      <c r="AD22" s="286"/>
      <c r="AE22" s="286"/>
      <c r="AF22" s="286"/>
      <c r="AG22" s="286"/>
      <c r="AH22" s="286">
        <v>7</v>
      </c>
      <c r="AI22" s="286"/>
      <c r="AJ22" s="286">
        <v>6.5</v>
      </c>
      <c r="AK22" s="295">
        <v>7</v>
      </c>
      <c r="AL22" s="288">
        <v>6</v>
      </c>
      <c r="AM22" s="287">
        <v>8</v>
      </c>
      <c r="AN22" s="287">
        <v>5.5</v>
      </c>
      <c r="AO22" s="286">
        <v>6</v>
      </c>
      <c r="AP22" s="286">
        <v>6</v>
      </c>
      <c r="AQ22" s="296">
        <v>8</v>
      </c>
      <c r="AR22" s="286">
        <v>6</v>
      </c>
      <c r="AS22" s="286"/>
      <c r="AT22" s="286">
        <v>6</v>
      </c>
      <c r="AU22" s="286">
        <v>6</v>
      </c>
      <c r="AV22" s="286">
        <v>6</v>
      </c>
      <c r="AW22" s="286">
        <v>6</v>
      </c>
      <c r="AX22" s="286">
        <v>6</v>
      </c>
      <c r="AY22" s="286">
        <v>6</v>
      </c>
      <c r="AZ22" s="286">
        <v>6</v>
      </c>
      <c r="BA22" s="286">
        <v>6</v>
      </c>
      <c r="BB22" s="286">
        <f>BA22</f>
        <v>6</v>
      </c>
      <c r="BC22" s="286">
        <v>6</v>
      </c>
      <c r="BD22" s="287"/>
      <c r="BE22" s="287"/>
      <c r="BF22" s="287"/>
      <c r="BG22" s="288">
        <v>8</v>
      </c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6">
        <f>J22</f>
        <v>6</v>
      </c>
      <c r="BY22" s="289"/>
      <c r="BZ22" s="289">
        <v>7</v>
      </c>
      <c r="CA22" s="289"/>
      <c r="CB22" s="289"/>
      <c r="CC22" s="289"/>
      <c r="CD22" s="289"/>
      <c r="CE22" s="289"/>
      <c r="CF22" s="289"/>
      <c r="CG22" s="287"/>
      <c r="CH22" s="287"/>
      <c r="CI22" s="287"/>
      <c r="CJ22" s="287"/>
      <c r="CK22" s="287"/>
      <c r="CL22" s="287">
        <v>7</v>
      </c>
      <c r="CM22" s="287"/>
      <c r="CN22" s="292">
        <v>6</v>
      </c>
      <c r="CO22" s="292">
        <v>6</v>
      </c>
      <c r="CP22" s="287"/>
      <c r="CQ22" s="287">
        <v>6</v>
      </c>
      <c r="CR22" s="287">
        <v>8</v>
      </c>
      <c r="CS22" s="296">
        <v>6</v>
      </c>
      <c r="CT22" s="6"/>
      <c r="CU22" s="6"/>
      <c r="CV22" s="6"/>
      <c r="CW22" s="6"/>
      <c r="CX22" s="6"/>
      <c r="CY22" s="6"/>
      <c r="CZ22" s="6"/>
      <c r="DA22" s="343">
        <f t="shared" si="0"/>
        <v>0.89</v>
      </c>
      <c r="DH22" s="238">
        <v>10</v>
      </c>
    </row>
    <row r="23" spans="1:112" ht="20" customHeight="1" x14ac:dyDescent="0.35">
      <c r="A23" s="290">
        <v>520704</v>
      </c>
      <c r="B23" s="270" t="s">
        <v>737</v>
      </c>
      <c r="C23" s="270" t="s">
        <v>1565</v>
      </c>
      <c r="D23" s="297" t="s">
        <v>535</v>
      </c>
      <c r="E23" s="270" t="s">
        <v>54</v>
      </c>
      <c r="F23" s="270" t="s">
        <v>2039</v>
      </c>
      <c r="G23" s="270" t="s">
        <v>39</v>
      </c>
      <c r="H23" s="298">
        <v>2.44</v>
      </c>
      <c r="I23" s="292">
        <v>6.5</v>
      </c>
      <c r="J23" s="292">
        <v>6.5</v>
      </c>
      <c r="K23" s="286"/>
      <c r="L23" s="286">
        <v>7.5</v>
      </c>
      <c r="M23" s="400"/>
      <c r="N23" s="286"/>
      <c r="O23" s="286">
        <v>7.5</v>
      </c>
      <c r="P23" s="292">
        <v>7.5</v>
      </c>
      <c r="Q23" s="286">
        <v>8</v>
      </c>
      <c r="R23" s="286"/>
      <c r="S23" s="286">
        <v>7.5</v>
      </c>
      <c r="T23" s="286">
        <v>6.5</v>
      </c>
      <c r="U23" s="286">
        <v>6.5</v>
      </c>
      <c r="V23" s="294">
        <v>7</v>
      </c>
      <c r="W23" s="286"/>
      <c r="X23" s="286"/>
      <c r="Y23" s="286"/>
      <c r="Z23" s="286">
        <v>7</v>
      </c>
      <c r="AA23" s="286">
        <v>7</v>
      </c>
      <c r="AB23" s="286">
        <v>7.5</v>
      </c>
      <c r="AC23" s="286">
        <v>7.5</v>
      </c>
      <c r="AD23" s="286"/>
      <c r="AE23" s="286"/>
      <c r="AF23" s="286">
        <v>7</v>
      </c>
      <c r="AG23" s="286"/>
      <c r="AH23" s="286"/>
      <c r="AI23" s="286">
        <v>6.5</v>
      </c>
      <c r="AJ23" s="286">
        <v>8</v>
      </c>
      <c r="AK23" s="295">
        <v>7</v>
      </c>
      <c r="AL23" s="288">
        <v>6.5</v>
      </c>
      <c r="AM23" s="287">
        <v>7</v>
      </c>
      <c r="AN23" s="287"/>
      <c r="AO23" s="287">
        <v>6.5</v>
      </c>
      <c r="AP23" s="286">
        <v>6.5</v>
      </c>
      <c r="AQ23" s="296">
        <v>7.5</v>
      </c>
      <c r="AR23" s="286">
        <v>6.5</v>
      </c>
      <c r="AS23" s="286"/>
      <c r="AT23" s="286">
        <v>6.5</v>
      </c>
      <c r="AU23" s="286">
        <v>6.5</v>
      </c>
      <c r="AV23" s="286">
        <v>6.5</v>
      </c>
      <c r="AW23" s="286">
        <v>6.5</v>
      </c>
      <c r="AX23" s="286">
        <v>6.5</v>
      </c>
      <c r="AY23" s="286">
        <v>6.5</v>
      </c>
      <c r="AZ23" s="286">
        <v>6.5</v>
      </c>
      <c r="BA23" s="286">
        <v>6.5</v>
      </c>
      <c r="BB23" s="286">
        <f>BA23</f>
        <v>6.5</v>
      </c>
      <c r="BC23" s="286">
        <v>6.5</v>
      </c>
      <c r="BD23" s="287"/>
      <c r="BE23" s="287"/>
      <c r="BF23" s="287"/>
      <c r="BG23" s="288">
        <v>7.5</v>
      </c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>
        <v>7.5</v>
      </c>
      <c r="BS23" s="287"/>
      <c r="BT23" s="287"/>
      <c r="BU23" s="287">
        <v>7</v>
      </c>
      <c r="BV23" s="287"/>
      <c r="BW23" s="287"/>
      <c r="BX23" s="286">
        <f>J23</f>
        <v>6.5</v>
      </c>
      <c r="BY23" s="289"/>
      <c r="BZ23" s="289">
        <v>7</v>
      </c>
      <c r="CA23" s="289"/>
      <c r="CB23" s="289">
        <v>7</v>
      </c>
      <c r="CC23" s="289">
        <v>7</v>
      </c>
      <c r="CD23" s="289"/>
      <c r="CE23" s="289"/>
      <c r="CF23" s="289"/>
      <c r="CG23" s="287"/>
      <c r="CH23" s="287"/>
      <c r="CI23" s="287"/>
      <c r="CJ23" s="287"/>
      <c r="CK23" s="287"/>
      <c r="CL23" s="287">
        <v>8</v>
      </c>
      <c r="CM23" s="292">
        <v>6.5</v>
      </c>
      <c r="CN23" s="292">
        <v>6.5</v>
      </c>
      <c r="CO23" s="292">
        <v>6.5</v>
      </c>
      <c r="CP23" s="287"/>
      <c r="CQ23" s="287">
        <v>6.5</v>
      </c>
      <c r="CR23" s="287">
        <v>7.5</v>
      </c>
      <c r="CS23" s="296">
        <v>6.5</v>
      </c>
      <c r="CT23" s="6"/>
      <c r="CU23" s="6"/>
      <c r="CV23" s="6"/>
      <c r="CW23" s="6"/>
      <c r="CX23" s="6"/>
      <c r="CY23" s="6"/>
      <c r="CZ23" s="6"/>
      <c r="DA23" s="343">
        <f t="shared" si="0"/>
        <v>2.44</v>
      </c>
      <c r="DH23" s="238">
        <v>3.5</v>
      </c>
    </row>
    <row r="24" spans="1:112" ht="20" customHeight="1" x14ac:dyDescent="0.35">
      <c r="A24" s="290" t="s">
        <v>2095</v>
      </c>
      <c r="B24" s="270" t="s">
        <v>737</v>
      </c>
      <c r="C24" s="270" t="s">
        <v>1565</v>
      </c>
      <c r="D24" s="297" t="s">
        <v>535</v>
      </c>
      <c r="E24" s="270" t="s">
        <v>54</v>
      </c>
      <c r="F24" s="270" t="s">
        <v>2039</v>
      </c>
      <c r="G24" s="270" t="s">
        <v>39</v>
      </c>
      <c r="H24" s="298">
        <v>2.44</v>
      </c>
      <c r="I24" s="292"/>
      <c r="J24" s="292"/>
      <c r="K24" s="286"/>
      <c r="L24" s="286"/>
      <c r="M24" s="286"/>
      <c r="N24" s="286"/>
      <c r="O24" s="286"/>
      <c r="P24" s="292"/>
      <c r="Q24" s="286"/>
      <c r="R24" s="286"/>
      <c r="S24" s="286"/>
      <c r="T24" s="286"/>
      <c r="U24" s="286"/>
      <c r="V24" s="294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95"/>
      <c r="AL24" s="288"/>
      <c r="AM24" s="287"/>
      <c r="AN24" s="287"/>
      <c r="AO24" s="287"/>
      <c r="AP24" s="286"/>
      <c r="AQ24" s="29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7"/>
      <c r="BE24" s="287"/>
      <c r="BF24" s="287"/>
      <c r="BG24" s="288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6"/>
      <c r="BY24" s="289"/>
      <c r="BZ24" s="289"/>
      <c r="CA24" s="289"/>
      <c r="CB24" s="289"/>
      <c r="CC24" s="289"/>
      <c r="CD24" s="289"/>
      <c r="CE24" s="289"/>
      <c r="CF24" s="289"/>
      <c r="CG24" s="287"/>
      <c r="CH24" s="287"/>
      <c r="CI24" s="287"/>
      <c r="CJ24" s="287"/>
      <c r="CK24" s="287"/>
      <c r="CL24" s="287"/>
      <c r="CM24" s="287"/>
      <c r="CN24" s="292"/>
      <c r="CO24" s="292"/>
      <c r="CP24" s="287"/>
      <c r="CQ24" s="287">
        <v>6.5</v>
      </c>
      <c r="CR24" s="287"/>
      <c r="CS24" s="296">
        <v>6.5</v>
      </c>
      <c r="CT24" s="6"/>
      <c r="CU24" s="6"/>
      <c r="CV24" s="6"/>
      <c r="CW24" s="6"/>
      <c r="CX24" s="6"/>
      <c r="CY24" s="6"/>
      <c r="CZ24" s="6"/>
      <c r="DA24" s="343">
        <f>H24</f>
        <v>2.44</v>
      </c>
      <c r="DH24" s="238">
        <v>3.5</v>
      </c>
    </row>
    <row r="25" spans="1:112" ht="20" customHeight="1" x14ac:dyDescent="0.35">
      <c r="A25" s="290" t="s">
        <v>1087</v>
      </c>
      <c r="B25" s="270" t="s">
        <v>1088</v>
      </c>
      <c r="C25" s="270" t="s">
        <v>1089</v>
      </c>
      <c r="D25" s="297" t="s">
        <v>535</v>
      </c>
      <c r="E25" s="270" t="s">
        <v>54</v>
      </c>
      <c r="F25" s="270" t="s">
        <v>1134</v>
      </c>
      <c r="G25" s="270" t="s">
        <v>39</v>
      </c>
      <c r="H25" s="298">
        <v>0</v>
      </c>
      <c r="I25" s="292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94"/>
      <c r="W25" s="286"/>
      <c r="X25" s="286"/>
      <c r="Y25" s="286"/>
      <c r="Z25" s="286"/>
      <c r="AA25" s="286">
        <v>12</v>
      </c>
      <c r="AB25" s="286"/>
      <c r="AC25" s="286"/>
      <c r="AD25" s="286"/>
      <c r="AE25" s="286"/>
      <c r="AF25" s="286"/>
      <c r="AG25" s="286"/>
      <c r="AH25" s="286"/>
      <c r="AI25" s="286"/>
      <c r="AJ25" s="286"/>
      <c r="AK25" s="287"/>
      <c r="AL25" s="288"/>
      <c r="AM25" s="287"/>
      <c r="AN25" s="287"/>
      <c r="AO25" s="287"/>
      <c r="AP25" s="286"/>
      <c r="AQ25" s="29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7"/>
      <c r="BE25" s="287"/>
      <c r="BF25" s="287"/>
      <c r="BG25" s="287"/>
      <c r="BH25" s="287"/>
      <c r="BI25" s="287"/>
      <c r="BJ25" s="287">
        <v>12</v>
      </c>
      <c r="BK25" s="287"/>
      <c r="BL25" s="287"/>
      <c r="BM25" s="287"/>
      <c r="BN25" s="287"/>
      <c r="BO25" s="287"/>
      <c r="BP25" s="287"/>
      <c r="BQ25" s="287"/>
      <c r="BR25" s="287"/>
      <c r="BS25" s="287">
        <v>12</v>
      </c>
      <c r="BT25" s="287"/>
      <c r="BU25" s="287"/>
      <c r="BV25" s="287"/>
      <c r="BW25" s="287"/>
      <c r="BX25" s="286"/>
      <c r="BY25" s="289">
        <v>10</v>
      </c>
      <c r="BZ25" s="289"/>
      <c r="CA25" s="289"/>
      <c r="CB25" s="289">
        <v>10</v>
      </c>
      <c r="CC25" s="289"/>
      <c r="CD25" s="289"/>
      <c r="CE25" s="289"/>
      <c r="CF25" s="289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>
        <v>12</v>
      </c>
      <c r="CS25" s="296">
        <v>10</v>
      </c>
      <c r="CT25" s="6"/>
      <c r="CU25" s="6"/>
      <c r="CV25" s="6"/>
      <c r="CW25" s="6"/>
      <c r="CX25" s="6"/>
      <c r="CY25" s="6"/>
      <c r="CZ25" s="6"/>
      <c r="DA25" s="343">
        <f t="shared" si="0"/>
        <v>0</v>
      </c>
      <c r="DH25" s="238">
        <v>3.5</v>
      </c>
    </row>
    <row r="26" spans="1:112" ht="20" customHeight="1" x14ac:dyDescent="0.35">
      <c r="A26" s="290"/>
      <c r="B26" s="270" t="s">
        <v>738</v>
      </c>
      <c r="C26" s="132" t="s">
        <v>2015</v>
      </c>
      <c r="D26" s="297" t="s">
        <v>535</v>
      </c>
      <c r="E26" s="270" t="s">
        <v>596</v>
      </c>
      <c r="F26" s="270" t="s">
        <v>637</v>
      </c>
      <c r="G26" s="270" t="s">
        <v>39</v>
      </c>
      <c r="H26" s="298">
        <v>7</v>
      </c>
      <c r="I26" s="286"/>
      <c r="J26" s="286"/>
      <c r="K26" s="286"/>
      <c r="L26" s="286"/>
      <c r="M26" s="286"/>
      <c r="N26" s="300">
        <v>10</v>
      </c>
      <c r="O26" s="286"/>
      <c r="P26" s="286"/>
      <c r="Q26" s="286"/>
      <c r="R26" s="286"/>
      <c r="S26" s="286"/>
      <c r="T26" s="286"/>
      <c r="U26" s="286"/>
      <c r="V26" s="294"/>
      <c r="W26" s="286"/>
      <c r="X26" s="286"/>
      <c r="Y26" s="286"/>
      <c r="Z26" s="286"/>
      <c r="AA26" s="286"/>
      <c r="AB26" s="286">
        <v>9.8000000000000007</v>
      </c>
      <c r="AC26" s="286"/>
      <c r="AD26" s="286"/>
      <c r="AE26" s="286"/>
      <c r="AF26" s="286"/>
      <c r="AG26" s="286"/>
      <c r="AH26" s="286"/>
      <c r="AI26" s="286"/>
      <c r="AJ26" s="286"/>
      <c r="AK26" s="287"/>
      <c r="AL26" s="288"/>
      <c r="AM26" s="287"/>
      <c r="AN26" s="287"/>
      <c r="AO26" s="287"/>
      <c r="AP26" s="286"/>
      <c r="AQ26" s="29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6"/>
      <c r="BY26" s="289"/>
      <c r="BZ26" s="289"/>
      <c r="CA26" s="289"/>
      <c r="CB26" s="289"/>
      <c r="CC26" s="289"/>
      <c r="CD26" s="289"/>
      <c r="CE26" s="289"/>
      <c r="CF26" s="289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302">
        <v>6</v>
      </c>
      <c r="CT26" s="6"/>
      <c r="CU26" s="6"/>
      <c r="CV26" s="6"/>
      <c r="CW26" s="6"/>
      <c r="CX26" s="6"/>
      <c r="CY26" s="6"/>
      <c r="CZ26" s="6"/>
      <c r="DA26" s="343">
        <f t="shared" si="0"/>
        <v>7</v>
      </c>
      <c r="DH26" s="238">
        <v>6.5</v>
      </c>
    </row>
    <row r="27" spans="1:112" ht="20" customHeight="1" x14ac:dyDescent="0.35">
      <c r="A27" s="290"/>
      <c r="B27" s="270" t="s">
        <v>739</v>
      </c>
      <c r="C27" s="270" t="s">
        <v>660</v>
      </c>
      <c r="D27" s="297" t="s">
        <v>535</v>
      </c>
      <c r="E27" s="270" t="s">
        <v>54</v>
      </c>
      <c r="F27" s="270" t="s">
        <v>2181</v>
      </c>
      <c r="G27" s="270" t="s">
        <v>156</v>
      </c>
      <c r="H27" s="298">
        <v>8.89</v>
      </c>
      <c r="I27" s="292"/>
      <c r="J27" s="286"/>
      <c r="K27" s="286"/>
      <c r="L27" s="286"/>
      <c r="M27" s="286"/>
      <c r="N27" s="286"/>
      <c r="O27" s="286">
        <v>0</v>
      </c>
      <c r="P27" s="286">
        <v>0</v>
      </c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95"/>
      <c r="AL27" s="288"/>
      <c r="AM27" s="287"/>
      <c r="AN27" s="287"/>
      <c r="AO27" s="287"/>
      <c r="AP27" s="286"/>
      <c r="AQ27" s="296"/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7"/>
      <c r="BE27" s="287"/>
      <c r="BF27" s="287"/>
      <c r="BG27" s="288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6"/>
      <c r="BY27" s="289"/>
      <c r="BZ27" s="289"/>
      <c r="CA27" s="289"/>
      <c r="CB27" s="289"/>
      <c r="CC27" s="289"/>
      <c r="CD27" s="289"/>
      <c r="CE27" s="289"/>
      <c r="CF27" s="289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>
        <v>17</v>
      </c>
      <c r="CR27" s="287"/>
      <c r="CS27" s="289">
        <v>17</v>
      </c>
      <c r="CT27" s="6"/>
      <c r="CU27" s="6"/>
      <c r="CV27" s="6"/>
      <c r="CW27" s="6"/>
      <c r="CX27" s="6"/>
      <c r="CY27" s="6"/>
      <c r="CZ27" s="6"/>
      <c r="DA27" s="343">
        <f t="shared" si="0"/>
        <v>8.89</v>
      </c>
      <c r="DH27" s="238">
        <v>30</v>
      </c>
    </row>
    <row r="28" spans="1:112" ht="20" customHeight="1" x14ac:dyDescent="0.35">
      <c r="A28" s="290" t="s">
        <v>678</v>
      </c>
      <c r="B28" s="270" t="s">
        <v>2201</v>
      </c>
      <c r="C28" s="270" t="s">
        <v>660</v>
      </c>
      <c r="D28" s="297" t="s">
        <v>535</v>
      </c>
      <c r="E28" s="270" t="s">
        <v>54</v>
      </c>
      <c r="F28" s="270" t="s">
        <v>2202</v>
      </c>
      <c r="G28" s="270" t="s">
        <v>156</v>
      </c>
      <c r="H28" s="298">
        <v>8.89</v>
      </c>
      <c r="I28" s="292">
        <v>20</v>
      </c>
      <c r="J28" s="286"/>
      <c r="K28" s="286"/>
      <c r="L28" s="286"/>
      <c r="M28" s="286"/>
      <c r="N28" s="286"/>
      <c r="O28" s="286">
        <v>0</v>
      </c>
      <c r="P28" s="286">
        <v>0</v>
      </c>
      <c r="Q28" s="286">
        <v>20</v>
      </c>
      <c r="R28" s="286"/>
      <c r="S28" s="286">
        <v>20</v>
      </c>
      <c r="T28" s="286"/>
      <c r="U28" s="286"/>
      <c r="V28" s="286"/>
      <c r="W28" s="286"/>
      <c r="X28" s="286"/>
      <c r="Y28" s="286">
        <v>20</v>
      </c>
      <c r="Z28" s="286"/>
      <c r="AA28" s="286">
        <v>16</v>
      </c>
      <c r="AB28" s="286"/>
      <c r="AC28" s="286"/>
      <c r="AD28" s="286"/>
      <c r="AE28" s="286"/>
      <c r="AF28" s="286"/>
      <c r="AG28" s="286"/>
      <c r="AH28" s="286"/>
      <c r="AI28" s="286"/>
      <c r="AJ28" s="286">
        <v>20</v>
      </c>
      <c r="AK28" s="295">
        <v>20</v>
      </c>
      <c r="AL28" s="288"/>
      <c r="AM28" s="287"/>
      <c r="AN28" s="287"/>
      <c r="AO28" s="287"/>
      <c r="AP28" s="286"/>
      <c r="AQ28" s="296">
        <v>20</v>
      </c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7"/>
      <c r="BE28" s="287"/>
      <c r="BF28" s="287"/>
      <c r="BG28" s="288">
        <v>20</v>
      </c>
      <c r="BH28" s="287"/>
      <c r="BI28" s="287"/>
      <c r="BJ28" s="287"/>
      <c r="BK28" s="287"/>
      <c r="BL28" s="287"/>
      <c r="BM28" s="287"/>
      <c r="BN28" s="287">
        <v>20</v>
      </c>
      <c r="BO28" s="287"/>
      <c r="BP28" s="287"/>
      <c r="BQ28" s="287"/>
      <c r="BR28" s="287"/>
      <c r="BS28" s="287"/>
      <c r="BT28" s="287"/>
      <c r="BU28" s="287">
        <v>20</v>
      </c>
      <c r="BV28" s="287"/>
      <c r="BW28" s="287"/>
      <c r="BX28" s="286"/>
      <c r="BY28" s="289"/>
      <c r="BZ28" s="289">
        <v>20</v>
      </c>
      <c r="CA28" s="289"/>
      <c r="CB28" s="289"/>
      <c r="CC28" s="289"/>
      <c r="CD28" s="289"/>
      <c r="CE28" s="289"/>
      <c r="CF28" s="289"/>
      <c r="CG28" s="287">
        <v>20</v>
      </c>
      <c r="CH28" s="287"/>
      <c r="CI28" s="287"/>
      <c r="CJ28" s="287"/>
      <c r="CK28" s="287"/>
      <c r="CL28" s="287">
        <v>20</v>
      </c>
      <c r="CM28" s="287"/>
      <c r="CN28" s="287"/>
      <c r="CO28" s="287"/>
      <c r="CP28" s="287"/>
      <c r="CQ28" s="287">
        <v>20</v>
      </c>
      <c r="CR28" s="287"/>
      <c r="CS28" s="289">
        <v>17</v>
      </c>
      <c r="CT28" s="6"/>
      <c r="CU28" s="6"/>
      <c r="CV28" s="6"/>
      <c r="CW28" s="6"/>
      <c r="CX28" s="6"/>
      <c r="CY28" s="6"/>
      <c r="CZ28" s="6"/>
      <c r="DA28" s="343">
        <f t="shared" ref="DA28:DA30" si="1">H28</f>
        <v>8.89</v>
      </c>
      <c r="DH28" s="238">
        <v>30</v>
      </c>
    </row>
    <row r="29" spans="1:112" ht="20" customHeight="1" x14ac:dyDescent="0.35">
      <c r="A29" s="290" t="s">
        <v>2270</v>
      </c>
      <c r="B29" s="270" t="s">
        <v>2201</v>
      </c>
      <c r="C29" s="270" t="s">
        <v>660</v>
      </c>
      <c r="D29" s="297" t="s">
        <v>535</v>
      </c>
      <c r="E29" s="270" t="s">
        <v>54</v>
      </c>
      <c r="F29" s="270" t="s">
        <v>2202</v>
      </c>
      <c r="G29" s="270" t="s">
        <v>156</v>
      </c>
      <c r="H29" s="298">
        <v>8.89</v>
      </c>
      <c r="I29" s="292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95"/>
      <c r="AL29" s="288"/>
      <c r="AM29" s="287"/>
      <c r="AN29" s="287"/>
      <c r="AO29" s="287"/>
      <c r="AP29" s="286"/>
      <c r="AQ29" s="29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7"/>
      <c r="BE29" s="287"/>
      <c r="BF29" s="287"/>
      <c r="BG29" s="288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6"/>
      <c r="BY29" s="289"/>
      <c r="BZ29" s="289"/>
      <c r="CA29" s="289"/>
      <c r="CB29" s="289"/>
      <c r="CC29" s="289"/>
      <c r="CD29" s="289"/>
      <c r="CE29" s="289"/>
      <c r="CF29" s="289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>
        <v>20</v>
      </c>
      <c r="CR29" s="287"/>
      <c r="CS29" s="289"/>
      <c r="CT29" s="6"/>
      <c r="CU29" s="6"/>
      <c r="CV29" s="6"/>
      <c r="CW29" s="6"/>
      <c r="CX29" s="6"/>
      <c r="CY29" s="6"/>
      <c r="CZ29" s="6"/>
      <c r="DA29" s="343"/>
      <c r="DH29" s="238"/>
    </row>
    <row r="30" spans="1:112" ht="20" customHeight="1" x14ac:dyDescent="0.35">
      <c r="A30" s="290"/>
      <c r="B30" s="270" t="s">
        <v>2222</v>
      </c>
      <c r="C30" s="270" t="s">
        <v>660</v>
      </c>
      <c r="D30" s="297" t="s">
        <v>535</v>
      </c>
      <c r="E30" s="270" t="s">
        <v>54</v>
      </c>
      <c r="F30" s="270" t="s">
        <v>2181</v>
      </c>
      <c r="G30" s="270" t="s">
        <v>156</v>
      </c>
      <c r="H30" s="298">
        <v>8.89</v>
      </c>
      <c r="I30" s="292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95"/>
      <c r="AL30" s="288"/>
      <c r="AM30" s="287"/>
      <c r="AN30" s="287"/>
      <c r="AO30" s="287"/>
      <c r="AP30" s="286"/>
      <c r="AQ30" s="29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7"/>
      <c r="BE30" s="287"/>
      <c r="BF30" s="287"/>
      <c r="BG30" s="288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6"/>
      <c r="BY30" s="289"/>
      <c r="BZ30" s="289"/>
      <c r="CA30" s="289"/>
      <c r="CB30" s="289"/>
      <c r="CC30" s="289"/>
      <c r="CD30" s="289"/>
      <c r="CE30" s="289"/>
      <c r="CF30" s="289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>
        <v>19</v>
      </c>
      <c r="CS30" s="289">
        <v>17</v>
      </c>
      <c r="CT30" s="6"/>
      <c r="CU30" s="6"/>
      <c r="CV30" s="6"/>
      <c r="CW30" s="6"/>
      <c r="CX30" s="6"/>
      <c r="CY30" s="6"/>
      <c r="CZ30" s="6"/>
      <c r="DA30" s="343">
        <f t="shared" si="1"/>
        <v>8.89</v>
      </c>
      <c r="DH30" s="238">
        <v>30</v>
      </c>
    </row>
    <row r="31" spans="1:112" ht="20" customHeight="1" x14ac:dyDescent="0.35">
      <c r="A31" s="301"/>
      <c r="B31" s="270" t="s">
        <v>740</v>
      </c>
      <c r="C31" s="270" t="s">
        <v>1583</v>
      </c>
      <c r="D31" s="297" t="s">
        <v>535</v>
      </c>
      <c r="E31" s="270" t="s">
        <v>54</v>
      </c>
      <c r="F31" s="270" t="s">
        <v>2190</v>
      </c>
      <c r="G31" s="270" t="s">
        <v>156</v>
      </c>
      <c r="H31" s="298">
        <v>10.119999999999999</v>
      </c>
      <c r="I31" s="286">
        <v>0</v>
      </c>
      <c r="J31" s="286"/>
      <c r="K31" s="286"/>
      <c r="L31" s="286"/>
      <c r="M31" s="286"/>
      <c r="N31" s="286"/>
      <c r="O31" s="286">
        <v>0</v>
      </c>
      <c r="P31" s="286">
        <v>0</v>
      </c>
      <c r="Q31" s="286"/>
      <c r="R31" s="286"/>
      <c r="S31" s="286"/>
      <c r="T31" s="286"/>
      <c r="U31" s="286"/>
      <c r="V31" s="286"/>
      <c r="W31" s="286"/>
      <c r="X31" s="286"/>
      <c r="Y31" s="286">
        <v>24</v>
      </c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7"/>
      <c r="AL31" s="288"/>
      <c r="AM31" s="287"/>
      <c r="AN31" s="287"/>
      <c r="AO31" s="287"/>
      <c r="AP31" s="286"/>
      <c r="AQ31" s="29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6"/>
      <c r="BY31" s="289"/>
      <c r="BZ31" s="289"/>
      <c r="CA31" s="289"/>
      <c r="CB31" s="289"/>
      <c r="CC31" s="289"/>
      <c r="CD31" s="289"/>
      <c r="CE31" s="289"/>
      <c r="CF31" s="289"/>
      <c r="CG31" s="287"/>
      <c r="CH31" s="287"/>
      <c r="CI31" s="287"/>
      <c r="CJ31" s="287"/>
      <c r="CK31" s="287"/>
      <c r="CL31" s="287"/>
      <c r="CM31" s="287"/>
      <c r="CN31" s="287"/>
      <c r="CO31" s="287"/>
      <c r="CP31" s="287"/>
      <c r="CQ31" s="287"/>
      <c r="CR31" s="287"/>
      <c r="CS31" s="6"/>
      <c r="CT31" s="6"/>
      <c r="CU31" s="6"/>
      <c r="CV31" s="6"/>
      <c r="CW31" s="6"/>
      <c r="CX31" s="6"/>
      <c r="CY31" s="6"/>
      <c r="CZ31" s="6"/>
      <c r="DA31" s="343">
        <f t="shared" si="0"/>
        <v>10.119999999999999</v>
      </c>
      <c r="DH31" s="238">
        <v>32</v>
      </c>
    </row>
    <row r="32" spans="1:112" ht="20" customHeight="1" x14ac:dyDescent="0.35">
      <c r="A32" s="290"/>
      <c r="B32" s="270" t="s">
        <v>741</v>
      </c>
      <c r="C32" s="270" t="s">
        <v>1744</v>
      </c>
      <c r="D32" s="297" t="s">
        <v>653</v>
      </c>
      <c r="E32" s="270" t="s">
        <v>54</v>
      </c>
      <c r="F32" s="270" t="s">
        <v>1598</v>
      </c>
      <c r="G32" s="270" t="s">
        <v>35</v>
      </c>
      <c r="H32" s="298">
        <f>18/20</f>
        <v>0.9</v>
      </c>
      <c r="I32" s="292">
        <v>12</v>
      </c>
      <c r="J32" s="292">
        <v>10</v>
      </c>
      <c r="K32" s="286"/>
      <c r="L32" s="286"/>
      <c r="M32" s="286"/>
      <c r="N32" s="286"/>
      <c r="O32" s="286"/>
      <c r="P32" s="292">
        <v>10</v>
      </c>
      <c r="Q32" s="286">
        <v>12</v>
      </c>
      <c r="R32" s="286"/>
      <c r="S32" s="286">
        <v>12</v>
      </c>
      <c r="T32" s="286">
        <v>10</v>
      </c>
      <c r="U32" s="286"/>
      <c r="V32" s="294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>
        <v>10</v>
      </c>
      <c r="AJ32" s="286"/>
      <c r="AK32" s="295">
        <v>12</v>
      </c>
      <c r="AL32" s="288">
        <v>10</v>
      </c>
      <c r="AM32" s="287">
        <v>10</v>
      </c>
      <c r="AN32" s="287"/>
      <c r="AO32" s="286">
        <v>10</v>
      </c>
      <c r="AP32" s="286">
        <v>10</v>
      </c>
      <c r="AQ32" s="296">
        <v>14</v>
      </c>
      <c r="AR32" s="286">
        <v>10</v>
      </c>
      <c r="AS32" s="286"/>
      <c r="AT32" s="286">
        <v>10</v>
      </c>
      <c r="AU32" s="286">
        <v>10</v>
      </c>
      <c r="AV32" s="286">
        <v>10</v>
      </c>
      <c r="AW32" s="286">
        <v>10</v>
      </c>
      <c r="AX32" s="286">
        <v>10</v>
      </c>
      <c r="AY32" s="286">
        <v>10</v>
      </c>
      <c r="AZ32" s="286">
        <v>10</v>
      </c>
      <c r="BA32" s="286">
        <v>10</v>
      </c>
      <c r="BB32" s="286">
        <f>BA32</f>
        <v>10</v>
      </c>
      <c r="BC32" s="286">
        <v>10</v>
      </c>
      <c r="BD32" s="287"/>
      <c r="BE32" s="287"/>
      <c r="BF32" s="287"/>
      <c r="BG32" s="288">
        <v>12</v>
      </c>
      <c r="BH32" s="287"/>
      <c r="BI32" s="287"/>
      <c r="BJ32" s="287"/>
      <c r="BK32" s="299">
        <v>12</v>
      </c>
      <c r="BL32" s="287"/>
      <c r="BM32" s="287"/>
      <c r="BN32" s="287"/>
      <c r="BO32" s="287"/>
      <c r="BP32" s="287"/>
      <c r="BQ32" s="287"/>
      <c r="BR32" s="287"/>
      <c r="BS32" s="287"/>
      <c r="BT32" s="287"/>
      <c r="BU32" s="287">
        <v>10</v>
      </c>
      <c r="BV32" s="287"/>
      <c r="BW32" s="287"/>
      <c r="BX32" s="286">
        <v>10</v>
      </c>
      <c r="BY32" s="289"/>
      <c r="BZ32" s="289"/>
      <c r="CA32" s="289"/>
      <c r="CB32" s="289"/>
      <c r="CC32" s="289"/>
      <c r="CD32" s="289"/>
      <c r="CE32" s="289"/>
      <c r="CF32" s="289"/>
      <c r="CG32" s="287"/>
      <c r="CH32" s="287"/>
      <c r="CI32" s="287"/>
      <c r="CJ32" s="287"/>
      <c r="CK32" s="287"/>
      <c r="CL32" s="287">
        <v>15</v>
      </c>
      <c r="CM32" s="287"/>
      <c r="CN32" s="292">
        <v>10</v>
      </c>
      <c r="CO32" s="292">
        <v>10</v>
      </c>
      <c r="CP32" s="287"/>
      <c r="CQ32" s="287">
        <v>12</v>
      </c>
      <c r="CR32" s="287">
        <v>13</v>
      </c>
      <c r="CS32" s="296">
        <v>8</v>
      </c>
      <c r="CT32" s="6"/>
      <c r="CU32" s="6"/>
      <c r="CV32" s="6"/>
      <c r="CW32" s="6"/>
      <c r="CX32" s="6"/>
      <c r="CY32" s="6"/>
      <c r="CZ32" s="6"/>
      <c r="DA32" s="343">
        <f t="shared" si="0"/>
        <v>0.9</v>
      </c>
      <c r="DH32" s="238">
        <v>33</v>
      </c>
    </row>
    <row r="33" spans="1:112" ht="20" customHeight="1" x14ac:dyDescent="0.35">
      <c r="A33" s="290" t="s">
        <v>2266</v>
      </c>
      <c r="B33" s="270" t="s">
        <v>742</v>
      </c>
      <c r="C33" s="270" t="s">
        <v>1593</v>
      </c>
      <c r="D33" s="270" t="s">
        <v>535</v>
      </c>
      <c r="E33" s="270" t="s">
        <v>743</v>
      </c>
      <c r="F33" s="270" t="s">
        <v>1595</v>
      </c>
      <c r="G33" s="270" t="s">
        <v>39</v>
      </c>
      <c r="H33" s="298">
        <v>1.92</v>
      </c>
      <c r="I33" s="292"/>
      <c r="J33" s="286"/>
      <c r="K33" s="286"/>
      <c r="L33" s="286"/>
      <c r="M33" s="286"/>
      <c r="N33" s="286"/>
      <c r="O33" s="286"/>
      <c r="P33" s="286"/>
      <c r="Q33" s="286">
        <v>2.4</v>
      </c>
      <c r="R33" s="286"/>
      <c r="S33" s="286"/>
      <c r="T33" s="286"/>
      <c r="U33" s="286"/>
      <c r="V33" s="294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7"/>
      <c r="AL33" s="288"/>
      <c r="AM33" s="287"/>
      <c r="AN33" s="287"/>
      <c r="AO33" s="286"/>
      <c r="AP33" s="286"/>
      <c r="AQ33" s="296">
        <v>2.4</v>
      </c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7"/>
      <c r="BE33" s="287"/>
      <c r="BF33" s="287"/>
      <c r="BG33" s="288">
        <v>2.4</v>
      </c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>
        <v>2.2999999999999998</v>
      </c>
      <c r="BV33" s="287"/>
      <c r="BW33" s="287"/>
      <c r="BX33" s="286"/>
      <c r="BY33" s="289"/>
      <c r="BZ33" s="289"/>
      <c r="CA33" s="289"/>
      <c r="CB33" s="289"/>
      <c r="CC33" s="289"/>
      <c r="CD33" s="289"/>
      <c r="CE33" s="289"/>
      <c r="CF33" s="289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>
        <v>2.2000000000000002</v>
      </c>
      <c r="CR33" s="287">
        <v>2.4</v>
      </c>
      <c r="CS33" s="281">
        <v>6</v>
      </c>
      <c r="CT33" s="6"/>
      <c r="CU33" s="6"/>
      <c r="CV33" s="6"/>
      <c r="CW33" s="6"/>
      <c r="CX33" s="6"/>
      <c r="CY33" s="6"/>
      <c r="CZ33" s="6"/>
      <c r="DA33" s="343">
        <f t="shared" si="0"/>
        <v>1.92</v>
      </c>
      <c r="DH33" s="238">
        <v>35</v>
      </c>
    </row>
    <row r="34" spans="1:112" ht="20" customHeight="1" x14ac:dyDescent="0.35">
      <c r="A34" s="290" t="s">
        <v>2265</v>
      </c>
      <c r="B34" s="270" t="s">
        <v>744</v>
      </c>
      <c r="C34" s="270" t="s">
        <v>1592</v>
      </c>
      <c r="D34" s="270" t="s">
        <v>535</v>
      </c>
      <c r="E34" s="270" t="s">
        <v>743</v>
      </c>
      <c r="F34" s="270" t="s">
        <v>1595</v>
      </c>
      <c r="G34" s="270" t="s">
        <v>39</v>
      </c>
      <c r="H34" s="298">
        <v>1.92</v>
      </c>
      <c r="I34" s="292"/>
      <c r="J34" s="286"/>
      <c r="K34" s="286"/>
      <c r="L34" s="286"/>
      <c r="M34" s="286"/>
      <c r="N34" s="286"/>
      <c r="O34" s="286"/>
      <c r="P34" s="286"/>
      <c r="Q34" s="286">
        <v>2.4</v>
      </c>
      <c r="R34" s="286"/>
      <c r="S34" s="286"/>
      <c r="T34" s="286"/>
      <c r="U34" s="286"/>
      <c r="V34" s="294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7"/>
      <c r="AL34" s="288"/>
      <c r="AM34" s="287"/>
      <c r="AN34" s="287"/>
      <c r="AO34" s="286"/>
      <c r="AP34" s="286"/>
      <c r="AQ34" s="296">
        <v>2.4</v>
      </c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7"/>
      <c r="BE34" s="287"/>
      <c r="BF34" s="287"/>
      <c r="BG34" s="288">
        <v>2.4</v>
      </c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>
        <v>2.2999999999999998</v>
      </c>
      <c r="BV34" s="287"/>
      <c r="BW34" s="287"/>
      <c r="BX34" s="286"/>
      <c r="BY34" s="289"/>
      <c r="BZ34" s="289"/>
      <c r="CA34" s="289"/>
      <c r="CB34" s="289"/>
      <c r="CC34" s="289"/>
      <c r="CD34" s="289"/>
      <c r="CE34" s="289"/>
      <c r="CF34" s="289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>
        <v>2.2000000000000002</v>
      </c>
      <c r="CR34" s="287">
        <v>2.4</v>
      </c>
      <c r="CS34" s="292">
        <v>7</v>
      </c>
      <c r="CT34" s="6"/>
      <c r="CU34" s="6"/>
      <c r="CV34" s="6"/>
      <c r="CW34" s="6"/>
      <c r="CX34" s="6"/>
      <c r="CY34" s="6"/>
      <c r="CZ34" s="6"/>
      <c r="DA34" s="343">
        <f t="shared" si="0"/>
        <v>1.92</v>
      </c>
      <c r="DH34" s="238">
        <v>14</v>
      </c>
    </row>
    <row r="35" spans="1:112" ht="20" customHeight="1" x14ac:dyDescent="0.35">
      <c r="A35" s="290"/>
      <c r="B35" s="270" t="s">
        <v>745</v>
      </c>
      <c r="C35" s="270" t="s">
        <v>746</v>
      </c>
      <c r="D35" s="270" t="s">
        <v>535</v>
      </c>
      <c r="E35" s="270" t="s">
        <v>743</v>
      </c>
      <c r="F35" s="270" t="s">
        <v>1595</v>
      </c>
      <c r="G35" s="270" t="s">
        <v>39</v>
      </c>
      <c r="H35" s="298">
        <v>1.92</v>
      </c>
      <c r="I35" s="292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94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7"/>
      <c r="AL35" s="288"/>
      <c r="AM35" s="287"/>
      <c r="AN35" s="287"/>
      <c r="AO35" s="286"/>
      <c r="AP35" s="286"/>
      <c r="AQ35" s="29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7"/>
      <c r="BE35" s="287"/>
      <c r="BF35" s="287"/>
      <c r="BG35" s="288">
        <v>2.4</v>
      </c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>
        <v>2.2999999999999998</v>
      </c>
      <c r="BV35" s="287"/>
      <c r="BW35" s="287"/>
      <c r="BX35" s="286"/>
      <c r="BY35" s="289"/>
      <c r="BZ35" s="289"/>
      <c r="CA35" s="289"/>
      <c r="CB35" s="289"/>
      <c r="CC35" s="289"/>
      <c r="CD35" s="289"/>
      <c r="CE35" s="289"/>
      <c r="CF35" s="289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292">
        <v>6</v>
      </c>
      <c r="CT35" s="6"/>
      <c r="CU35" s="6"/>
      <c r="CV35" s="6"/>
      <c r="CW35" s="6"/>
      <c r="CX35" s="6"/>
      <c r="CY35" s="6"/>
      <c r="CZ35" s="6"/>
      <c r="DA35" s="343">
        <f t="shared" si="0"/>
        <v>1.92</v>
      </c>
      <c r="DH35" s="238">
        <v>13</v>
      </c>
    </row>
    <row r="36" spans="1:112" ht="20" customHeight="1" x14ac:dyDescent="0.35">
      <c r="A36" s="301"/>
      <c r="B36" s="270" t="s">
        <v>747</v>
      </c>
      <c r="C36" s="270" t="s">
        <v>639</v>
      </c>
      <c r="D36" s="270" t="s">
        <v>627</v>
      </c>
      <c r="E36" s="270" t="s">
        <v>34</v>
      </c>
      <c r="F36" s="270" t="s">
        <v>1596</v>
      </c>
      <c r="G36" s="270" t="s">
        <v>39</v>
      </c>
      <c r="H36" s="298">
        <v>0.4</v>
      </c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94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7"/>
      <c r="AL36" s="288"/>
      <c r="AM36" s="287"/>
      <c r="AN36" s="287"/>
      <c r="AO36" s="287"/>
      <c r="AP36" s="286"/>
      <c r="AQ36" s="29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6"/>
      <c r="BY36" s="289"/>
      <c r="BZ36" s="289"/>
      <c r="CA36" s="289"/>
      <c r="CB36" s="289"/>
      <c r="CC36" s="289"/>
      <c r="CD36" s="289"/>
      <c r="CE36" s="289"/>
      <c r="CF36" s="289"/>
      <c r="CG36" s="287"/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/>
      <c r="CS36" s="304">
        <v>7.5</v>
      </c>
      <c r="CT36" s="6"/>
      <c r="CU36" s="6"/>
      <c r="CV36" s="6"/>
      <c r="CW36" s="6"/>
      <c r="CX36" s="6"/>
      <c r="CY36" s="6"/>
      <c r="CZ36" s="6"/>
      <c r="DA36" s="343">
        <f t="shared" si="0"/>
        <v>0.4</v>
      </c>
      <c r="DH36" s="238">
        <v>24</v>
      </c>
    </row>
    <row r="37" spans="1:112" ht="20" customHeight="1" x14ac:dyDescent="0.35">
      <c r="A37" s="301"/>
      <c r="B37" s="270" t="s">
        <v>748</v>
      </c>
      <c r="C37" s="270" t="s">
        <v>640</v>
      </c>
      <c r="D37" s="270" t="s">
        <v>627</v>
      </c>
      <c r="E37" s="270" t="s">
        <v>34</v>
      </c>
      <c r="F37" s="270" t="s">
        <v>1597</v>
      </c>
      <c r="G37" s="270" t="s">
        <v>39</v>
      </c>
      <c r="H37" s="298">
        <v>0.4</v>
      </c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94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7"/>
      <c r="AL37" s="288"/>
      <c r="AM37" s="287"/>
      <c r="AN37" s="287"/>
      <c r="AO37" s="287"/>
      <c r="AP37" s="286"/>
      <c r="AQ37" s="29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7"/>
      <c r="BE37" s="287"/>
      <c r="BF37" s="287"/>
      <c r="BG37" s="288">
        <v>1</v>
      </c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6"/>
      <c r="BY37" s="289"/>
      <c r="BZ37" s="289"/>
      <c r="CA37" s="289"/>
      <c r="CB37" s="289"/>
      <c r="CC37" s="289"/>
      <c r="CD37" s="289"/>
      <c r="CE37" s="289"/>
      <c r="CF37" s="289"/>
      <c r="CG37" s="287"/>
      <c r="CH37" s="287"/>
      <c r="CI37" s="287"/>
      <c r="CJ37" s="287"/>
      <c r="CK37" s="287"/>
      <c r="CL37" s="287"/>
      <c r="CM37" s="287"/>
      <c r="CN37" s="287"/>
      <c r="CO37" s="287"/>
      <c r="CP37" s="287"/>
      <c r="CQ37" s="287"/>
      <c r="CR37" s="287"/>
      <c r="CS37" s="6"/>
      <c r="CT37" s="6"/>
      <c r="CU37" s="6"/>
      <c r="CV37" s="6"/>
      <c r="CW37" s="6"/>
      <c r="CX37" s="6"/>
      <c r="CY37" s="6"/>
      <c r="CZ37" s="6"/>
      <c r="DA37" s="343">
        <f t="shared" si="0"/>
        <v>0.4</v>
      </c>
      <c r="DH37" s="238">
        <v>32</v>
      </c>
    </row>
    <row r="38" spans="1:112" ht="20" customHeight="1" x14ac:dyDescent="0.35">
      <c r="A38" s="301"/>
      <c r="B38" s="270" t="s">
        <v>1074</v>
      </c>
      <c r="C38" s="270" t="s">
        <v>640</v>
      </c>
      <c r="D38" s="270" t="s">
        <v>627</v>
      </c>
      <c r="E38" s="270" t="s">
        <v>34</v>
      </c>
      <c r="F38" s="270" t="s">
        <v>1598</v>
      </c>
      <c r="G38" s="270" t="s">
        <v>39</v>
      </c>
      <c r="H38" s="298">
        <v>4</v>
      </c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94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7"/>
      <c r="AL38" s="288"/>
      <c r="AM38" s="287"/>
      <c r="AN38" s="287"/>
      <c r="AO38" s="287"/>
      <c r="AP38" s="286"/>
      <c r="AQ38" s="29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7"/>
      <c r="BE38" s="287"/>
      <c r="BF38" s="287"/>
      <c r="BG38" s="288">
        <v>10</v>
      </c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6"/>
      <c r="BY38" s="289">
        <v>8</v>
      </c>
      <c r="BZ38" s="289"/>
      <c r="CA38" s="289"/>
      <c r="CB38" s="289"/>
      <c r="CC38" s="289"/>
      <c r="CD38" s="289"/>
      <c r="CE38" s="289"/>
      <c r="CF38" s="289"/>
      <c r="CG38" s="287"/>
      <c r="CH38" s="287"/>
      <c r="CI38" s="287"/>
      <c r="CJ38" s="287"/>
      <c r="CK38" s="287"/>
      <c r="CL38" s="287"/>
      <c r="CM38" s="287"/>
      <c r="CN38" s="287"/>
      <c r="CO38" s="287"/>
      <c r="CP38" s="287"/>
      <c r="CQ38" s="287"/>
      <c r="CR38" s="287"/>
      <c r="CS38" s="6"/>
      <c r="CT38" s="6"/>
      <c r="CU38" s="6"/>
      <c r="CV38" s="6"/>
      <c r="CW38" s="6"/>
      <c r="CX38" s="6"/>
      <c r="CY38" s="6"/>
      <c r="CZ38" s="6"/>
      <c r="DA38" s="343">
        <f t="shared" si="0"/>
        <v>4</v>
      </c>
      <c r="DH38" s="238">
        <v>0.95</v>
      </c>
    </row>
    <row r="39" spans="1:112" ht="20" customHeight="1" x14ac:dyDescent="0.35">
      <c r="A39" s="301"/>
      <c r="B39" s="270" t="s">
        <v>1336</v>
      </c>
      <c r="C39" s="270" t="s">
        <v>1899</v>
      </c>
      <c r="D39" s="270" t="s">
        <v>535</v>
      </c>
      <c r="E39" s="270" t="s">
        <v>34</v>
      </c>
      <c r="F39" s="270" t="s">
        <v>1580</v>
      </c>
      <c r="G39" s="270" t="s">
        <v>31</v>
      </c>
      <c r="H39" s="298">
        <v>4.8</v>
      </c>
      <c r="I39" s="286"/>
      <c r="J39" s="286">
        <v>8.6999999999999993</v>
      </c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94"/>
      <c r="W39" s="286"/>
      <c r="X39" s="286"/>
      <c r="Y39" s="286"/>
      <c r="Z39" s="286"/>
      <c r="AA39" s="286"/>
      <c r="AB39" s="286"/>
      <c r="AC39" s="286"/>
      <c r="AD39" s="286">
        <v>8.5</v>
      </c>
      <c r="AE39" s="286"/>
      <c r="AF39" s="286"/>
      <c r="AG39" s="286"/>
      <c r="AH39" s="286"/>
      <c r="AI39" s="286"/>
      <c r="AJ39" s="286"/>
      <c r="AK39" s="287"/>
      <c r="AL39" s="288"/>
      <c r="AM39" s="287"/>
      <c r="AN39" s="287"/>
      <c r="AO39" s="287"/>
      <c r="AP39" s="286"/>
      <c r="AQ39" s="296"/>
      <c r="AR39" s="286"/>
      <c r="AS39" s="286"/>
      <c r="AT39" s="286"/>
      <c r="AU39" s="286"/>
      <c r="AV39" s="286"/>
      <c r="AW39" s="286"/>
      <c r="AX39" s="286"/>
      <c r="AY39" s="286"/>
      <c r="AZ39" s="286">
        <v>8.6999999999999993</v>
      </c>
      <c r="BA39" s="286"/>
      <c r="BB39" s="286"/>
      <c r="BC39" s="286"/>
      <c r="BD39" s="287"/>
      <c r="BE39" s="287"/>
      <c r="BF39" s="287"/>
      <c r="BG39" s="288">
        <v>10</v>
      </c>
      <c r="BH39" s="287">
        <v>8.6999999999999993</v>
      </c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6"/>
      <c r="BY39" s="289">
        <v>10</v>
      </c>
      <c r="BZ39" s="289"/>
      <c r="CA39" s="289"/>
      <c r="CB39" s="289"/>
      <c r="CC39" s="289"/>
      <c r="CD39" s="289"/>
      <c r="CE39" s="289"/>
      <c r="CF39" s="289"/>
      <c r="CG39" s="287"/>
      <c r="CH39" s="287"/>
      <c r="CI39" s="287"/>
      <c r="CJ39" s="287"/>
      <c r="CK39" s="287"/>
      <c r="CL39" s="287"/>
      <c r="CM39" s="287"/>
      <c r="CN39" s="286">
        <v>8.6999999999999993</v>
      </c>
      <c r="CO39" s="287"/>
      <c r="CP39" s="287"/>
      <c r="CQ39" s="287"/>
      <c r="CR39" s="287">
        <v>10.5</v>
      </c>
      <c r="CS39" s="6"/>
      <c r="CT39" s="6"/>
      <c r="CU39" s="6"/>
      <c r="CV39" s="6"/>
      <c r="CW39" s="6"/>
      <c r="CX39" s="6"/>
      <c r="CY39" s="6"/>
      <c r="CZ39" s="6"/>
      <c r="DA39" s="343">
        <f t="shared" si="0"/>
        <v>4.8</v>
      </c>
      <c r="DH39" s="238">
        <v>11</v>
      </c>
    </row>
    <row r="40" spans="1:112" ht="20" customHeight="1" x14ac:dyDescent="0.35">
      <c r="A40" s="301"/>
      <c r="B40" s="270" t="s">
        <v>1705</v>
      </c>
      <c r="C40" s="270" t="s">
        <v>1899</v>
      </c>
      <c r="D40" s="270" t="s">
        <v>1706</v>
      </c>
      <c r="E40" s="270" t="s">
        <v>1221</v>
      </c>
      <c r="F40" s="270" t="s">
        <v>1580</v>
      </c>
      <c r="G40" s="270" t="s">
        <v>31</v>
      </c>
      <c r="H40" s="298">
        <v>8</v>
      </c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94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7"/>
      <c r="AL40" s="288"/>
      <c r="AM40" s="287"/>
      <c r="AN40" s="287"/>
      <c r="AO40" s="287"/>
      <c r="AP40" s="286"/>
      <c r="AQ40" s="29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7"/>
      <c r="BE40" s="287"/>
      <c r="BF40" s="287"/>
      <c r="BG40" s="288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6"/>
      <c r="BY40" s="289">
        <v>10</v>
      </c>
      <c r="BZ40" s="289"/>
      <c r="CA40" s="289"/>
      <c r="CB40" s="289"/>
      <c r="CC40" s="289"/>
      <c r="CD40" s="289"/>
      <c r="CE40" s="289"/>
      <c r="CF40" s="289"/>
      <c r="CG40" s="287"/>
      <c r="CH40" s="287"/>
      <c r="CI40" s="287"/>
      <c r="CJ40" s="287"/>
      <c r="CK40" s="287"/>
      <c r="CL40" s="287"/>
      <c r="CM40" s="287"/>
      <c r="CN40" s="287"/>
      <c r="CO40" s="287"/>
      <c r="CP40" s="287"/>
      <c r="CQ40" s="287"/>
      <c r="CR40" s="287"/>
      <c r="CS40" s="6"/>
      <c r="CT40" s="6"/>
      <c r="CU40" s="6"/>
      <c r="CV40" s="6"/>
      <c r="CW40" s="6"/>
      <c r="CX40" s="6"/>
      <c r="CY40" s="6"/>
      <c r="CZ40" s="6"/>
      <c r="DA40" s="343">
        <f t="shared" si="0"/>
        <v>8</v>
      </c>
      <c r="DH40" s="238"/>
    </row>
    <row r="41" spans="1:112" ht="20" customHeight="1" x14ac:dyDescent="0.35">
      <c r="A41" s="301"/>
      <c r="B41" s="270" t="s">
        <v>749</v>
      </c>
      <c r="C41" s="270" t="s">
        <v>641</v>
      </c>
      <c r="D41" s="270" t="s">
        <v>627</v>
      </c>
      <c r="E41" s="270" t="s">
        <v>34</v>
      </c>
      <c r="F41" s="270" t="s">
        <v>1596</v>
      </c>
      <c r="G41" s="270" t="s">
        <v>39</v>
      </c>
      <c r="H41" s="298">
        <v>0.4</v>
      </c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94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7"/>
      <c r="AL41" s="288"/>
      <c r="AM41" s="287"/>
      <c r="AN41" s="287"/>
      <c r="AO41" s="287"/>
      <c r="AP41" s="286"/>
      <c r="AQ41" s="29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7"/>
      <c r="BE41" s="287"/>
      <c r="BF41" s="287"/>
      <c r="BG41" s="288">
        <v>0.8</v>
      </c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6"/>
      <c r="BY41" s="289"/>
      <c r="BZ41" s="289"/>
      <c r="CA41" s="289"/>
      <c r="CB41" s="289"/>
      <c r="CC41" s="289"/>
      <c r="CD41" s="289"/>
      <c r="CE41" s="289"/>
      <c r="CF41" s="289"/>
      <c r="CG41" s="287"/>
      <c r="CH41" s="287"/>
      <c r="CI41" s="287"/>
      <c r="CJ41" s="287"/>
      <c r="CK41" s="287"/>
      <c r="CL41" s="287"/>
      <c r="CM41" s="287"/>
      <c r="CN41" s="287"/>
      <c r="CO41" s="287"/>
      <c r="CP41" s="287"/>
      <c r="CQ41" s="287"/>
      <c r="CR41" s="287"/>
      <c r="CS41" s="6"/>
      <c r="CT41" s="6"/>
      <c r="CU41" s="6"/>
      <c r="CV41" s="6"/>
      <c r="CW41" s="6"/>
      <c r="CX41" s="6"/>
      <c r="CY41" s="6"/>
      <c r="CZ41" s="6"/>
      <c r="DA41" s="343">
        <f t="shared" si="0"/>
        <v>0.4</v>
      </c>
      <c r="DH41" s="238">
        <v>5</v>
      </c>
    </row>
    <row r="42" spans="1:112" ht="20" customHeight="1" x14ac:dyDescent="0.35">
      <c r="A42" s="301"/>
      <c r="B42" s="270" t="s">
        <v>1075</v>
      </c>
      <c r="C42" s="270" t="s">
        <v>641</v>
      </c>
      <c r="D42" s="270" t="s">
        <v>627</v>
      </c>
      <c r="E42" s="270" t="s">
        <v>34</v>
      </c>
      <c r="F42" s="270" t="s">
        <v>1598</v>
      </c>
      <c r="G42" s="270" t="s">
        <v>39</v>
      </c>
      <c r="H42" s="298">
        <v>4</v>
      </c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94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>
        <v>7</v>
      </c>
      <c r="AK42" s="287"/>
      <c r="AL42" s="288"/>
      <c r="AM42" s="287"/>
      <c r="AN42" s="287"/>
      <c r="AO42" s="287"/>
      <c r="AP42" s="286"/>
      <c r="AQ42" s="29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7"/>
      <c r="BE42" s="287"/>
      <c r="BF42" s="287"/>
      <c r="BG42" s="288">
        <v>8</v>
      </c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6"/>
      <c r="BY42" s="289">
        <v>8</v>
      </c>
      <c r="BZ42" s="289"/>
      <c r="CA42" s="289"/>
      <c r="CB42" s="289"/>
      <c r="CC42" s="289"/>
      <c r="CD42" s="289"/>
      <c r="CE42" s="289"/>
      <c r="CF42" s="289"/>
      <c r="CG42" s="287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/>
      <c r="CR42" s="287"/>
      <c r="CS42" s="6"/>
      <c r="CT42" s="6"/>
      <c r="CU42" s="6"/>
      <c r="CV42" s="6"/>
      <c r="CW42" s="6"/>
      <c r="CX42" s="6"/>
      <c r="CY42" s="6"/>
      <c r="CZ42" s="6"/>
      <c r="DA42" s="343">
        <f t="shared" si="0"/>
        <v>4</v>
      </c>
      <c r="DH42" s="238">
        <v>6.5</v>
      </c>
    </row>
    <row r="43" spans="1:112" ht="20" customHeight="1" x14ac:dyDescent="0.35">
      <c r="A43" s="290"/>
      <c r="B43" s="306" t="s">
        <v>750</v>
      </c>
      <c r="C43" s="270" t="s">
        <v>1415</v>
      </c>
      <c r="D43" s="270" t="s">
        <v>535</v>
      </c>
      <c r="E43" s="270" t="s">
        <v>54</v>
      </c>
      <c r="F43" s="270" t="s">
        <v>1599</v>
      </c>
      <c r="G43" s="270" t="s">
        <v>31</v>
      </c>
      <c r="H43" s="298">
        <v>1.46</v>
      </c>
      <c r="I43" s="292">
        <v>8.5</v>
      </c>
      <c r="J43" s="292">
        <v>6</v>
      </c>
      <c r="K43" s="286"/>
      <c r="L43" s="286"/>
      <c r="M43" s="286"/>
      <c r="N43" s="286"/>
      <c r="O43" s="286">
        <v>8</v>
      </c>
      <c r="P43" s="286"/>
      <c r="Q43" s="286"/>
      <c r="R43" s="286"/>
      <c r="S43" s="286"/>
      <c r="T43" s="300">
        <v>6</v>
      </c>
      <c r="U43" s="286"/>
      <c r="V43" s="294"/>
      <c r="W43" s="286"/>
      <c r="X43" s="286"/>
      <c r="Y43" s="286"/>
      <c r="Z43" s="286"/>
      <c r="AA43" s="286"/>
      <c r="AB43" s="286"/>
      <c r="AC43" s="286"/>
      <c r="AD43" s="286"/>
      <c r="AE43" s="286"/>
      <c r="AF43" s="286">
        <v>8</v>
      </c>
      <c r="AG43" s="286"/>
      <c r="AH43" s="286"/>
      <c r="AI43" s="286"/>
      <c r="AJ43" s="286"/>
      <c r="AK43" s="295"/>
      <c r="AL43" s="288"/>
      <c r="AM43" s="287"/>
      <c r="AN43" s="287"/>
      <c r="AO43" s="287"/>
      <c r="AP43" s="286"/>
      <c r="AQ43" s="296">
        <v>7</v>
      </c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7"/>
      <c r="BE43" s="287"/>
      <c r="BF43" s="287"/>
      <c r="BG43" s="288">
        <v>7</v>
      </c>
      <c r="BH43" s="287"/>
      <c r="BI43" s="287"/>
      <c r="BJ43" s="287"/>
      <c r="BK43" s="287"/>
      <c r="BL43" s="287"/>
      <c r="BM43" s="287"/>
      <c r="BN43" s="287"/>
      <c r="BO43" s="287"/>
      <c r="BP43" s="287"/>
      <c r="BQ43" s="287">
        <v>7</v>
      </c>
      <c r="BR43" s="287"/>
      <c r="BS43" s="287"/>
      <c r="BT43" s="287"/>
      <c r="BU43" s="287">
        <v>8</v>
      </c>
      <c r="BV43" s="287"/>
      <c r="BW43" s="287"/>
      <c r="BX43" s="286"/>
      <c r="BY43" s="289"/>
      <c r="BZ43" s="289"/>
      <c r="CA43" s="289"/>
      <c r="CB43" s="289"/>
      <c r="CC43" s="289"/>
      <c r="CD43" s="289"/>
      <c r="CE43" s="289"/>
      <c r="CF43" s="289"/>
      <c r="CG43" s="305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>
        <v>6</v>
      </c>
      <c r="CR43" s="287"/>
      <c r="CS43" s="288">
        <f>I43</f>
        <v>8.5</v>
      </c>
      <c r="CT43" s="6"/>
      <c r="CU43" s="6"/>
      <c r="CV43" s="6"/>
      <c r="CW43" s="6"/>
      <c r="CX43" s="6"/>
      <c r="CY43" s="6"/>
      <c r="CZ43" s="6"/>
      <c r="DA43" s="343">
        <f t="shared" si="0"/>
        <v>1.46</v>
      </c>
      <c r="DH43" s="238">
        <v>4.5</v>
      </c>
    </row>
    <row r="44" spans="1:112" ht="20" customHeight="1" x14ac:dyDescent="0.35">
      <c r="A44" s="290">
        <v>522052</v>
      </c>
      <c r="B44" s="306" t="s">
        <v>1416</v>
      </c>
      <c r="C44" s="270" t="s">
        <v>1417</v>
      </c>
      <c r="D44" s="270" t="s">
        <v>535</v>
      </c>
      <c r="E44" s="270" t="s">
        <v>54</v>
      </c>
      <c r="F44" s="270" t="s">
        <v>1599</v>
      </c>
      <c r="G44" s="270" t="s">
        <v>31</v>
      </c>
      <c r="H44" s="298"/>
      <c r="I44" s="292">
        <v>6</v>
      </c>
      <c r="J44" s="300"/>
      <c r="K44" s="286"/>
      <c r="L44" s="286"/>
      <c r="M44" s="286"/>
      <c r="N44" s="286"/>
      <c r="O44" s="286"/>
      <c r="P44" s="286"/>
      <c r="Q44" s="286"/>
      <c r="R44" s="286"/>
      <c r="S44" s="286"/>
      <c r="T44" s="300"/>
      <c r="U44" s="286"/>
      <c r="V44" s="294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7"/>
      <c r="AL44" s="288"/>
      <c r="AM44" s="287"/>
      <c r="AN44" s="287"/>
      <c r="AO44" s="287"/>
      <c r="AP44" s="286"/>
      <c r="AQ44" s="296">
        <v>8</v>
      </c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6"/>
      <c r="BY44" s="289"/>
      <c r="BZ44" s="289"/>
      <c r="CA44" s="289"/>
      <c r="CB44" s="289"/>
      <c r="CC44" s="289"/>
      <c r="CD44" s="289"/>
      <c r="CE44" s="289"/>
      <c r="CF44" s="289"/>
      <c r="CG44" s="305"/>
      <c r="CH44" s="287"/>
      <c r="CI44" s="287"/>
      <c r="CJ44" s="287"/>
      <c r="CK44" s="287"/>
      <c r="CL44" s="287"/>
      <c r="CM44" s="287"/>
      <c r="CN44" s="287"/>
      <c r="CO44" s="287"/>
      <c r="CP44" s="287"/>
      <c r="CQ44" s="287"/>
      <c r="CR44" s="287"/>
      <c r="CS44" s="6"/>
      <c r="CT44" s="6"/>
      <c r="CU44" s="6"/>
      <c r="CV44" s="6"/>
      <c r="CW44" s="6"/>
      <c r="CX44" s="6"/>
      <c r="CY44" s="6"/>
      <c r="CZ44" s="6"/>
      <c r="DA44" s="343">
        <f t="shared" si="0"/>
        <v>0</v>
      </c>
      <c r="DH44" s="238">
        <v>18</v>
      </c>
    </row>
    <row r="45" spans="1:112" ht="20" customHeight="1" x14ac:dyDescent="0.35">
      <c r="A45" s="290"/>
      <c r="B45" s="306" t="s">
        <v>751</v>
      </c>
      <c r="C45" s="270" t="s">
        <v>1418</v>
      </c>
      <c r="D45" s="270" t="s">
        <v>535</v>
      </c>
      <c r="E45" s="270" t="s">
        <v>54</v>
      </c>
      <c r="F45" s="270" t="s">
        <v>1599</v>
      </c>
      <c r="G45" s="270" t="s">
        <v>31</v>
      </c>
      <c r="H45" s="298">
        <v>1.46</v>
      </c>
      <c r="I45" s="292">
        <v>10.5</v>
      </c>
      <c r="J45" s="292">
        <v>7</v>
      </c>
      <c r="K45" s="286"/>
      <c r="L45" s="286"/>
      <c r="M45" s="286"/>
      <c r="N45" s="286"/>
      <c r="O45" s="286">
        <v>10</v>
      </c>
      <c r="P45" s="286"/>
      <c r="Q45" s="286"/>
      <c r="R45" s="286"/>
      <c r="S45" s="286"/>
      <c r="T45" s="300">
        <v>7</v>
      </c>
      <c r="U45" s="286"/>
      <c r="V45" s="294"/>
      <c r="W45" s="286"/>
      <c r="X45" s="286"/>
      <c r="Y45" s="286"/>
      <c r="Z45" s="286"/>
      <c r="AA45" s="286"/>
      <c r="AB45" s="286"/>
      <c r="AC45" s="286"/>
      <c r="AD45" s="286"/>
      <c r="AE45" s="286"/>
      <c r="AF45" s="286">
        <v>9</v>
      </c>
      <c r="AG45" s="286"/>
      <c r="AH45" s="286"/>
      <c r="AI45" s="286"/>
      <c r="AJ45" s="286"/>
      <c r="AK45" s="295"/>
      <c r="AL45" s="288"/>
      <c r="AM45" s="287"/>
      <c r="AN45" s="287"/>
      <c r="AO45" s="287"/>
      <c r="AP45" s="286"/>
      <c r="AQ45" s="296">
        <v>8</v>
      </c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7"/>
      <c r="BE45" s="287"/>
      <c r="BF45" s="287"/>
      <c r="BG45" s="288">
        <v>8</v>
      </c>
      <c r="BH45" s="287"/>
      <c r="BI45" s="287"/>
      <c r="BJ45" s="287"/>
      <c r="BK45" s="287"/>
      <c r="BL45" s="287"/>
      <c r="BM45" s="287"/>
      <c r="BN45" s="287"/>
      <c r="BO45" s="287"/>
      <c r="BP45" s="287"/>
      <c r="BQ45" s="287">
        <v>8</v>
      </c>
      <c r="BR45" s="287"/>
      <c r="BS45" s="287"/>
      <c r="BT45" s="287"/>
      <c r="BU45" s="287">
        <v>9</v>
      </c>
      <c r="BV45" s="287"/>
      <c r="BW45" s="287"/>
      <c r="BX45" s="286"/>
      <c r="BY45" s="289"/>
      <c r="BZ45" s="289"/>
      <c r="CA45" s="289"/>
      <c r="CB45" s="289"/>
      <c r="CC45" s="289"/>
      <c r="CD45" s="289"/>
      <c r="CE45" s="289"/>
      <c r="CF45" s="289"/>
      <c r="CG45" s="305"/>
      <c r="CH45" s="287"/>
      <c r="CI45" s="287"/>
      <c r="CJ45" s="287"/>
      <c r="CK45" s="287"/>
      <c r="CL45" s="287"/>
      <c r="CM45" s="287"/>
      <c r="CN45" s="287"/>
      <c r="CO45" s="287"/>
      <c r="CP45" s="287"/>
      <c r="CQ45" s="287">
        <v>7</v>
      </c>
      <c r="CR45" s="287"/>
      <c r="CS45" s="288">
        <f>I45</f>
        <v>10.5</v>
      </c>
      <c r="CT45" s="6"/>
      <c r="CU45" s="6"/>
      <c r="CV45" s="6"/>
      <c r="CW45" s="6"/>
      <c r="CX45" s="6"/>
      <c r="CY45" s="6"/>
      <c r="CZ45" s="6"/>
      <c r="DA45" s="343">
        <f t="shared" si="0"/>
        <v>1.46</v>
      </c>
      <c r="DH45" s="238">
        <v>18</v>
      </c>
    </row>
    <row r="46" spans="1:112" ht="20" customHeight="1" x14ac:dyDescent="0.35">
      <c r="A46" s="290">
        <v>522055</v>
      </c>
      <c r="B46" s="306" t="s">
        <v>1419</v>
      </c>
      <c r="C46" s="270" t="s">
        <v>1420</v>
      </c>
      <c r="D46" s="270" t="s">
        <v>535</v>
      </c>
      <c r="E46" s="270" t="s">
        <v>54</v>
      </c>
      <c r="F46" s="270" t="s">
        <v>1599</v>
      </c>
      <c r="G46" s="270" t="s">
        <v>31</v>
      </c>
      <c r="H46" s="298"/>
      <c r="I46" s="292">
        <v>8</v>
      </c>
      <c r="J46" s="300"/>
      <c r="K46" s="286"/>
      <c r="L46" s="286"/>
      <c r="M46" s="286"/>
      <c r="N46" s="286"/>
      <c r="O46" s="286"/>
      <c r="P46" s="286"/>
      <c r="Q46" s="286"/>
      <c r="R46" s="286"/>
      <c r="S46" s="286"/>
      <c r="T46" s="300"/>
      <c r="U46" s="286"/>
      <c r="V46" s="294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7"/>
      <c r="AL46" s="288"/>
      <c r="AM46" s="287"/>
      <c r="AN46" s="287"/>
      <c r="AO46" s="287"/>
      <c r="AP46" s="286"/>
      <c r="AQ46" s="296">
        <v>9</v>
      </c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6"/>
      <c r="BY46" s="289"/>
      <c r="BZ46" s="289"/>
      <c r="CA46" s="289"/>
      <c r="CB46" s="289"/>
      <c r="CC46" s="289"/>
      <c r="CD46" s="289"/>
      <c r="CE46" s="289"/>
      <c r="CF46" s="289"/>
      <c r="CG46" s="305"/>
      <c r="CH46" s="287"/>
      <c r="CI46" s="287"/>
      <c r="CJ46" s="287"/>
      <c r="CK46" s="287"/>
      <c r="CL46" s="287"/>
      <c r="CM46" s="287"/>
      <c r="CN46" s="287"/>
      <c r="CO46" s="287"/>
      <c r="CP46" s="287"/>
      <c r="CQ46" s="287"/>
      <c r="CR46" s="287"/>
      <c r="CS46" s="6"/>
      <c r="CT46" s="6"/>
      <c r="CU46" s="6"/>
      <c r="CV46" s="6"/>
      <c r="CW46" s="6"/>
      <c r="CX46" s="6"/>
      <c r="CY46" s="6"/>
      <c r="CZ46" s="6"/>
      <c r="DA46" s="343">
        <f t="shared" si="0"/>
        <v>0</v>
      </c>
      <c r="DH46" s="238">
        <v>18</v>
      </c>
    </row>
    <row r="47" spans="1:112" ht="20" customHeight="1" x14ac:dyDescent="0.35">
      <c r="A47" s="290"/>
      <c r="B47" s="306" t="s">
        <v>752</v>
      </c>
      <c r="C47" s="270" t="s">
        <v>1421</v>
      </c>
      <c r="D47" s="270" t="s">
        <v>535</v>
      </c>
      <c r="E47" s="270" t="s">
        <v>54</v>
      </c>
      <c r="F47" s="270" t="s">
        <v>1599</v>
      </c>
      <c r="G47" s="270" t="s">
        <v>31</v>
      </c>
      <c r="H47" s="298">
        <v>2.82</v>
      </c>
      <c r="I47" s="292">
        <v>8.5</v>
      </c>
      <c r="J47" s="292">
        <v>6</v>
      </c>
      <c r="K47" s="286"/>
      <c r="L47" s="286"/>
      <c r="M47" s="286"/>
      <c r="N47" s="286"/>
      <c r="O47" s="286">
        <v>10</v>
      </c>
      <c r="P47" s="286"/>
      <c r="Q47" s="286"/>
      <c r="R47" s="286"/>
      <c r="S47" s="286"/>
      <c r="T47" s="300">
        <v>6</v>
      </c>
      <c r="U47" s="286"/>
      <c r="V47" s="294"/>
      <c r="W47" s="286"/>
      <c r="X47" s="286"/>
      <c r="Y47" s="286"/>
      <c r="Z47" s="286"/>
      <c r="AA47" s="286"/>
      <c r="AB47" s="286"/>
      <c r="AC47" s="286"/>
      <c r="AD47" s="286"/>
      <c r="AE47" s="286"/>
      <c r="AF47" s="286">
        <v>10</v>
      </c>
      <c r="AG47" s="286"/>
      <c r="AH47" s="286"/>
      <c r="AI47" s="286"/>
      <c r="AJ47" s="286"/>
      <c r="AK47" s="295"/>
      <c r="AL47" s="288"/>
      <c r="AM47" s="287"/>
      <c r="AN47" s="287"/>
      <c r="AO47" s="287"/>
      <c r="AP47" s="286"/>
      <c r="AQ47" s="296">
        <v>10</v>
      </c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7"/>
      <c r="BE47" s="287"/>
      <c r="BF47" s="287"/>
      <c r="BG47" s="288">
        <v>9</v>
      </c>
      <c r="BH47" s="287"/>
      <c r="BI47" s="287"/>
      <c r="BJ47" s="287"/>
      <c r="BK47" s="287"/>
      <c r="BL47" s="287"/>
      <c r="BM47" s="287"/>
      <c r="BN47" s="287"/>
      <c r="BO47" s="287"/>
      <c r="BP47" s="287"/>
      <c r="BQ47" s="287">
        <v>8</v>
      </c>
      <c r="BR47" s="287"/>
      <c r="BS47" s="287"/>
      <c r="BT47" s="287"/>
      <c r="BU47" s="287">
        <v>10</v>
      </c>
      <c r="BV47" s="287"/>
      <c r="BW47" s="287"/>
      <c r="BX47" s="286"/>
      <c r="BY47" s="289"/>
      <c r="BZ47" s="289"/>
      <c r="CA47" s="289"/>
      <c r="CB47" s="289"/>
      <c r="CC47" s="289"/>
      <c r="CD47" s="289"/>
      <c r="CE47" s="289"/>
      <c r="CF47" s="289"/>
      <c r="CG47" s="305"/>
      <c r="CH47" s="287"/>
      <c r="CI47" s="287"/>
      <c r="CJ47" s="287"/>
      <c r="CK47" s="287"/>
      <c r="CL47" s="287">
        <v>10</v>
      </c>
      <c r="CM47" s="287"/>
      <c r="CN47" s="287"/>
      <c r="CO47" s="287"/>
      <c r="CP47" s="287"/>
      <c r="CQ47" s="287">
        <v>6</v>
      </c>
      <c r="CR47" s="287"/>
      <c r="CS47" s="288">
        <f>I47</f>
        <v>8.5</v>
      </c>
      <c r="CT47" s="6"/>
      <c r="CU47" s="6"/>
      <c r="CV47" s="6"/>
      <c r="CW47" s="6"/>
      <c r="CX47" s="6"/>
      <c r="CY47" s="6"/>
      <c r="CZ47" s="6"/>
      <c r="DA47" s="343">
        <f t="shared" si="0"/>
        <v>2.82</v>
      </c>
      <c r="DH47" s="238">
        <v>14</v>
      </c>
    </row>
    <row r="48" spans="1:112" ht="20" customHeight="1" x14ac:dyDescent="0.35">
      <c r="A48" s="290">
        <v>522053</v>
      </c>
      <c r="B48" s="306" t="s">
        <v>1422</v>
      </c>
      <c r="C48" s="270" t="s">
        <v>1423</v>
      </c>
      <c r="D48" s="270" t="s">
        <v>535</v>
      </c>
      <c r="E48" s="270" t="s">
        <v>54</v>
      </c>
      <c r="F48" s="270" t="s">
        <v>1599</v>
      </c>
      <c r="G48" s="270" t="s">
        <v>31</v>
      </c>
      <c r="H48" s="298"/>
      <c r="I48" s="292">
        <v>8</v>
      </c>
      <c r="J48" s="300"/>
      <c r="K48" s="286"/>
      <c r="L48" s="286"/>
      <c r="M48" s="286"/>
      <c r="N48" s="286"/>
      <c r="O48" s="286"/>
      <c r="P48" s="286"/>
      <c r="Q48" s="286"/>
      <c r="R48" s="286"/>
      <c r="S48" s="286"/>
      <c r="T48" s="300"/>
      <c r="U48" s="286"/>
      <c r="V48" s="294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7"/>
      <c r="AL48" s="288"/>
      <c r="AM48" s="287"/>
      <c r="AN48" s="287"/>
      <c r="AO48" s="287"/>
      <c r="AP48" s="286"/>
      <c r="AQ48" s="296">
        <v>11</v>
      </c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6"/>
      <c r="BY48" s="289"/>
      <c r="BZ48" s="289"/>
      <c r="CA48" s="289"/>
      <c r="CB48" s="289"/>
      <c r="CC48" s="289"/>
      <c r="CD48" s="289"/>
      <c r="CE48" s="289"/>
      <c r="CF48" s="289"/>
      <c r="CG48" s="305"/>
      <c r="CH48" s="287"/>
      <c r="CI48" s="287"/>
      <c r="CJ48" s="287"/>
      <c r="CK48" s="287"/>
      <c r="CL48" s="287"/>
      <c r="CM48" s="287"/>
      <c r="CN48" s="287"/>
      <c r="CO48" s="287"/>
      <c r="CP48" s="287"/>
      <c r="CQ48" s="287"/>
      <c r="CR48" s="287"/>
      <c r="CS48" s="6"/>
      <c r="CT48" s="6"/>
      <c r="CU48" s="6"/>
      <c r="CV48" s="6"/>
      <c r="CW48" s="6"/>
      <c r="CX48" s="6"/>
      <c r="CY48" s="6"/>
      <c r="CZ48" s="6"/>
      <c r="DA48" s="343">
        <f t="shared" si="0"/>
        <v>0</v>
      </c>
      <c r="DH48" s="238">
        <v>18</v>
      </c>
    </row>
    <row r="49" spans="1:112" ht="20" customHeight="1" x14ac:dyDescent="0.35">
      <c r="A49" s="301"/>
      <c r="B49" s="270" t="s">
        <v>753</v>
      </c>
      <c r="C49" s="270" t="s">
        <v>1594</v>
      </c>
      <c r="D49" s="297" t="s">
        <v>535</v>
      </c>
      <c r="E49" s="270" t="s">
        <v>54</v>
      </c>
      <c r="F49" s="270" t="s">
        <v>1600</v>
      </c>
      <c r="G49" s="270" t="s">
        <v>39</v>
      </c>
      <c r="H49" s="298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94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7"/>
      <c r="AL49" s="288"/>
      <c r="AM49" s="287"/>
      <c r="AN49" s="287"/>
      <c r="AO49" s="287"/>
      <c r="AP49" s="286"/>
      <c r="AQ49" s="29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6"/>
      <c r="BY49" s="289"/>
      <c r="BZ49" s="289"/>
      <c r="CA49" s="289"/>
      <c r="CB49" s="289"/>
      <c r="CC49" s="289"/>
      <c r="CD49" s="289"/>
      <c r="CE49" s="289"/>
      <c r="CF49" s="289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6"/>
      <c r="CT49" s="6"/>
      <c r="CU49" s="6"/>
      <c r="CV49" s="6"/>
      <c r="CW49" s="6"/>
      <c r="CX49" s="6"/>
      <c r="CY49" s="6"/>
      <c r="CZ49" s="6"/>
      <c r="DA49" s="343">
        <f t="shared" si="0"/>
        <v>0</v>
      </c>
      <c r="DH49" s="238">
        <v>18</v>
      </c>
    </row>
    <row r="50" spans="1:112" ht="20" customHeight="1" x14ac:dyDescent="0.35">
      <c r="A50" s="301"/>
      <c r="B50" s="270" t="s">
        <v>2276</v>
      </c>
      <c r="C50" s="270" t="s">
        <v>2279</v>
      </c>
      <c r="D50" s="297" t="s">
        <v>535</v>
      </c>
      <c r="E50" s="270" t="s">
        <v>54</v>
      </c>
      <c r="F50" s="270" t="s">
        <v>2277</v>
      </c>
      <c r="G50" s="270" t="s">
        <v>39</v>
      </c>
      <c r="H50" s="298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94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7"/>
      <c r="AL50" s="288"/>
      <c r="AM50" s="287"/>
      <c r="AN50" s="287"/>
      <c r="AO50" s="287"/>
      <c r="AP50" s="286"/>
      <c r="AQ50" s="29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>
        <v>10</v>
      </c>
      <c r="BT50" s="287"/>
      <c r="BU50" s="287"/>
      <c r="BV50" s="287"/>
      <c r="BW50" s="287"/>
      <c r="BX50" s="286"/>
      <c r="BY50" s="289"/>
      <c r="BZ50" s="289"/>
      <c r="CA50" s="289"/>
      <c r="CB50" s="289"/>
      <c r="CC50" s="289"/>
      <c r="CD50" s="289"/>
      <c r="CE50" s="289"/>
      <c r="CF50" s="289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/>
      <c r="CS50" s="6"/>
      <c r="CT50" s="6"/>
      <c r="CU50" s="6"/>
      <c r="CV50" s="6"/>
      <c r="CW50" s="6"/>
      <c r="CX50" s="6"/>
      <c r="CY50" s="6"/>
      <c r="CZ50" s="6"/>
      <c r="DA50" s="343">
        <f t="shared" ref="DA50" si="2">H50</f>
        <v>0</v>
      </c>
      <c r="DH50" s="238">
        <v>18</v>
      </c>
    </row>
    <row r="51" spans="1:112" ht="20" customHeight="1" x14ac:dyDescent="0.35">
      <c r="A51" s="301"/>
      <c r="B51" s="270" t="s">
        <v>754</v>
      </c>
      <c r="C51" s="270" t="s">
        <v>1375</v>
      </c>
      <c r="D51" s="297" t="s">
        <v>535</v>
      </c>
      <c r="E51" s="270" t="s">
        <v>54</v>
      </c>
      <c r="F51" s="270" t="s">
        <v>1580</v>
      </c>
      <c r="G51" s="270" t="s">
        <v>31</v>
      </c>
      <c r="H51" s="298">
        <v>1.0900000000000001</v>
      </c>
      <c r="I51" s="286"/>
      <c r="J51" s="292">
        <v>3.5</v>
      </c>
      <c r="K51" s="286"/>
      <c r="L51" s="286"/>
      <c r="M51" s="286"/>
      <c r="N51" s="286"/>
      <c r="O51" s="286"/>
      <c r="P51" s="286"/>
      <c r="Q51" s="286"/>
      <c r="R51" s="286"/>
      <c r="S51" s="286"/>
      <c r="T51" s="286">
        <v>3.5</v>
      </c>
      <c r="U51" s="286"/>
      <c r="V51" s="294"/>
      <c r="W51" s="286"/>
      <c r="X51" s="286"/>
      <c r="Y51" s="286"/>
      <c r="Z51" s="286"/>
      <c r="AA51" s="286"/>
      <c r="AB51" s="286"/>
      <c r="AC51" s="286"/>
      <c r="AD51" s="286">
        <v>3.5</v>
      </c>
      <c r="AE51" s="286"/>
      <c r="AF51" s="286"/>
      <c r="AG51" s="286"/>
      <c r="AH51" s="286"/>
      <c r="AI51" s="286"/>
      <c r="AJ51" s="286"/>
      <c r="AK51" s="295"/>
      <c r="AL51" s="288"/>
      <c r="AM51" s="287"/>
      <c r="AN51" s="287"/>
      <c r="AO51" s="287"/>
      <c r="AP51" s="286"/>
      <c r="AQ51" s="29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7"/>
      <c r="BE51" s="287"/>
      <c r="BF51" s="287"/>
      <c r="BG51" s="288">
        <v>4.5</v>
      </c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>
        <v>3.5</v>
      </c>
      <c r="BS51" s="287"/>
      <c r="BT51" s="287"/>
      <c r="BU51" s="287"/>
      <c r="BV51" s="287"/>
      <c r="BW51" s="287"/>
      <c r="BX51" s="286"/>
      <c r="BY51" s="289"/>
      <c r="BZ51" s="289"/>
      <c r="CA51" s="289"/>
      <c r="CB51" s="289"/>
      <c r="CC51" s="289"/>
      <c r="CD51" s="289"/>
      <c r="CE51" s="289"/>
      <c r="CF51" s="289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/>
      <c r="CQ51" s="287"/>
      <c r="CR51" s="287">
        <v>4.5</v>
      </c>
      <c r="CS51" s="6"/>
      <c r="CT51" s="6"/>
      <c r="CU51" s="6"/>
      <c r="CV51" s="6"/>
      <c r="CW51" s="6"/>
      <c r="CX51" s="6"/>
      <c r="CY51" s="6"/>
      <c r="CZ51" s="6"/>
      <c r="DA51" s="343">
        <f t="shared" si="0"/>
        <v>1.0900000000000001</v>
      </c>
      <c r="DH51" s="238">
        <v>11</v>
      </c>
    </row>
    <row r="52" spans="1:112" ht="20" customHeight="1" x14ac:dyDescent="0.35">
      <c r="A52" s="301"/>
      <c r="B52" s="270" t="s">
        <v>2087</v>
      </c>
      <c r="C52" s="270" t="s">
        <v>1375</v>
      </c>
      <c r="D52" s="297" t="s">
        <v>535</v>
      </c>
      <c r="E52" s="270" t="s">
        <v>54</v>
      </c>
      <c r="F52" s="270" t="s">
        <v>2088</v>
      </c>
      <c r="G52" s="270" t="s">
        <v>1994</v>
      </c>
      <c r="H52" s="298"/>
      <c r="I52" s="286"/>
      <c r="J52" s="292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94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95"/>
      <c r="AL52" s="288"/>
      <c r="AM52" s="287"/>
      <c r="AN52" s="287"/>
      <c r="AO52" s="287"/>
      <c r="AP52" s="286"/>
      <c r="AQ52" s="29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7"/>
      <c r="BE52" s="287"/>
      <c r="BF52" s="287"/>
      <c r="BG52" s="288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6"/>
      <c r="BY52" s="289"/>
      <c r="BZ52" s="289"/>
      <c r="CA52" s="289"/>
      <c r="CB52" s="289"/>
      <c r="CC52" s="289"/>
      <c r="CD52" s="289"/>
      <c r="CE52" s="289"/>
      <c r="CF52" s="289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>
        <v>0.85</v>
      </c>
      <c r="CQ52" s="287"/>
      <c r="CR52" s="287"/>
      <c r="CS52" s="6"/>
      <c r="CT52" s="6"/>
      <c r="CU52" s="6"/>
      <c r="CV52" s="6"/>
      <c r="CW52" s="6"/>
      <c r="CX52" s="6"/>
      <c r="CY52" s="6"/>
      <c r="CZ52" s="6"/>
      <c r="DA52" s="343">
        <f>H52</f>
        <v>0</v>
      </c>
      <c r="DH52" s="238">
        <v>11</v>
      </c>
    </row>
    <row r="53" spans="1:112" ht="20" customHeight="1" x14ac:dyDescent="0.35">
      <c r="A53" s="301"/>
      <c r="B53" s="306" t="s">
        <v>1151</v>
      </c>
      <c r="C53" s="270" t="s">
        <v>1783</v>
      </c>
      <c r="D53" s="270" t="s">
        <v>535</v>
      </c>
      <c r="E53" s="270" t="s">
        <v>54</v>
      </c>
      <c r="F53" s="270" t="s">
        <v>1580</v>
      </c>
      <c r="G53" s="270" t="s">
        <v>31</v>
      </c>
      <c r="H53" s="298">
        <v>1.48</v>
      </c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94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7"/>
      <c r="AL53" s="288"/>
      <c r="AM53" s="287"/>
      <c r="AN53" s="287"/>
      <c r="AO53" s="287"/>
      <c r="AP53" s="286"/>
      <c r="AQ53" s="29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6"/>
      <c r="BY53" s="289"/>
      <c r="BZ53" s="289"/>
      <c r="CA53" s="289"/>
      <c r="CB53" s="289"/>
      <c r="CC53" s="289"/>
      <c r="CD53" s="289"/>
      <c r="CE53" s="289"/>
      <c r="CF53" s="289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6"/>
      <c r="CT53" s="6"/>
      <c r="CU53" s="6"/>
      <c r="CV53" s="6"/>
      <c r="CW53" s="6"/>
      <c r="CX53" s="6"/>
      <c r="CY53" s="6"/>
      <c r="CZ53" s="6"/>
      <c r="DA53" s="343">
        <f t="shared" si="0"/>
        <v>1.48</v>
      </c>
      <c r="DH53" s="238">
        <v>10</v>
      </c>
    </row>
    <row r="54" spans="1:112" ht="20" customHeight="1" x14ac:dyDescent="0.35">
      <c r="A54" s="301"/>
      <c r="B54" s="306" t="s">
        <v>1152</v>
      </c>
      <c r="C54" s="270" t="s">
        <v>1342</v>
      </c>
      <c r="D54" s="270" t="s">
        <v>535</v>
      </c>
      <c r="E54" s="270" t="s">
        <v>54</v>
      </c>
      <c r="F54" s="270" t="s">
        <v>1601</v>
      </c>
      <c r="G54" s="270" t="s">
        <v>31</v>
      </c>
      <c r="H54" s="298">
        <v>5.64</v>
      </c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94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7"/>
      <c r="AL54" s="288"/>
      <c r="AM54" s="287"/>
      <c r="AN54" s="287"/>
      <c r="AO54" s="287"/>
      <c r="AP54" s="286"/>
      <c r="AQ54" s="29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7"/>
      <c r="BE54" s="287"/>
      <c r="BF54" s="287"/>
      <c r="BG54" s="288">
        <v>15</v>
      </c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6"/>
      <c r="BY54" s="289"/>
      <c r="BZ54" s="289"/>
      <c r="CA54" s="289"/>
      <c r="CB54" s="289"/>
      <c r="CC54" s="289"/>
      <c r="CD54" s="289"/>
      <c r="CE54" s="289"/>
      <c r="CF54" s="289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6"/>
      <c r="CT54" s="6"/>
      <c r="CU54" s="6"/>
      <c r="CV54" s="6"/>
      <c r="CW54" s="6"/>
      <c r="CX54" s="6"/>
      <c r="CY54" s="6"/>
      <c r="CZ54" s="6"/>
      <c r="DA54" s="343">
        <f t="shared" si="0"/>
        <v>5.64</v>
      </c>
      <c r="DH54" s="238">
        <v>10.5</v>
      </c>
    </row>
    <row r="55" spans="1:112" ht="20" customHeight="1" x14ac:dyDescent="0.35">
      <c r="A55" s="301"/>
      <c r="B55" s="306" t="s">
        <v>1153</v>
      </c>
      <c r="C55" s="270" t="s">
        <v>1602</v>
      </c>
      <c r="D55" s="270" t="s">
        <v>535</v>
      </c>
      <c r="E55" s="270" t="s">
        <v>54</v>
      </c>
      <c r="F55" s="270" t="s">
        <v>1137</v>
      </c>
      <c r="G55" s="270" t="s">
        <v>31</v>
      </c>
      <c r="H55" s="298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94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7"/>
      <c r="AL55" s="288"/>
      <c r="AM55" s="287"/>
      <c r="AN55" s="287"/>
      <c r="AO55" s="287"/>
      <c r="AP55" s="286"/>
      <c r="AQ55" s="29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6"/>
      <c r="BY55" s="289"/>
      <c r="BZ55" s="289"/>
      <c r="CA55" s="289"/>
      <c r="CB55" s="289"/>
      <c r="CC55" s="289"/>
      <c r="CD55" s="289"/>
      <c r="CE55" s="289"/>
      <c r="CF55" s="289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6"/>
      <c r="CT55" s="6"/>
      <c r="CU55" s="6"/>
      <c r="CV55" s="6"/>
      <c r="CW55" s="6"/>
      <c r="CX55" s="6"/>
      <c r="CY55" s="6"/>
      <c r="CZ55" s="6"/>
      <c r="DA55" s="343">
        <f t="shared" si="0"/>
        <v>0</v>
      </c>
      <c r="DH55" s="238">
        <v>11</v>
      </c>
    </row>
    <row r="56" spans="1:112" ht="20" customHeight="1" x14ac:dyDescent="0.35">
      <c r="A56" s="301"/>
      <c r="B56" s="306" t="s">
        <v>1218</v>
      </c>
      <c r="C56" s="270" t="s">
        <v>1992</v>
      </c>
      <c r="D56" s="270" t="s">
        <v>535</v>
      </c>
      <c r="E56" s="270" t="s">
        <v>54</v>
      </c>
      <c r="F56" s="270" t="s">
        <v>1993</v>
      </c>
      <c r="G56" s="270" t="s">
        <v>1994</v>
      </c>
      <c r="H56" s="298">
        <f>0.5</f>
        <v>0.5</v>
      </c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94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7"/>
      <c r="AL56" s="288"/>
      <c r="AM56" s="287"/>
      <c r="AN56" s="287"/>
      <c r="AO56" s="287"/>
      <c r="AP56" s="286"/>
      <c r="AQ56" s="29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6"/>
      <c r="BY56" s="289"/>
      <c r="BZ56" s="289"/>
      <c r="CA56" s="289"/>
      <c r="CB56" s="289"/>
      <c r="CC56" s="289"/>
      <c r="CD56" s="289"/>
      <c r="CE56" s="289"/>
      <c r="CF56" s="289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6"/>
      <c r="CT56" s="6"/>
      <c r="CU56" s="6"/>
      <c r="CV56" s="6"/>
      <c r="CW56" s="6"/>
      <c r="CX56" s="6"/>
      <c r="CY56" s="6"/>
      <c r="CZ56" s="6"/>
      <c r="DA56" s="343">
        <f t="shared" si="0"/>
        <v>0.5</v>
      </c>
      <c r="DH56" s="238">
        <v>10.5</v>
      </c>
    </row>
    <row r="57" spans="1:112" ht="20" customHeight="1" x14ac:dyDescent="0.35">
      <c r="A57" s="301"/>
      <c r="B57" s="306" t="s">
        <v>1150</v>
      </c>
      <c r="C57" s="270" t="s">
        <v>1576</v>
      </c>
      <c r="D57" s="270" t="s">
        <v>535</v>
      </c>
      <c r="E57" s="270" t="s">
        <v>54</v>
      </c>
      <c r="F57" s="270" t="s">
        <v>1137</v>
      </c>
      <c r="G57" s="270" t="s">
        <v>31</v>
      </c>
      <c r="H57" s="298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94"/>
      <c r="W57" s="286"/>
      <c r="X57" s="286"/>
      <c r="Y57" s="286"/>
      <c r="Z57" s="286"/>
      <c r="AA57" s="286"/>
      <c r="AB57" s="286"/>
      <c r="AC57" s="286"/>
      <c r="AD57" s="286"/>
      <c r="AE57" s="286"/>
      <c r="AF57" s="286">
        <v>5.5</v>
      </c>
      <c r="AG57" s="286"/>
      <c r="AH57" s="286"/>
      <c r="AI57" s="286"/>
      <c r="AJ57" s="286"/>
      <c r="AK57" s="295"/>
      <c r="AL57" s="288"/>
      <c r="AM57" s="287"/>
      <c r="AN57" s="287"/>
      <c r="AO57" s="287"/>
      <c r="AP57" s="286"/>
      <c r="AQ57" s="29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7"/>
      <c r="BE57" s="287"/>
      <c r="BF57" s="287"/>
      <c r="BG57" s="288">
        <v>3.5</v>
      </c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6"/>
      <c r="BY57" s="289"/>
      <c r="BZ57" s="289"/>
      <c r="CA57" s="289"/>
      <c r="CB57" s="289"/>
      <c r="CC57" s="289"/>
      <c r="CD57" s="289"/>
      <c r="CE57" s="289"/>
      <c r="CF57" s="289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6"/>
      <c r="CT57" s="6"/>
      <c r="CU57" s="6"/>
      <c r="CV57" s="6"/>
      <c r="CW57" s="6"/>
      <c r="CX57" s="6"/>
      <c r="CY57" s="6"/>
      <c r="CZ57" s="6"/>
      <c r="DA57" s="343">
        <f t="shared" si="0"/>
        <v>0</v>
      </c>
      <c r="DH57" s="238">
        <v>13</v>
      </c>
    </row>
    <row r="58" spans="1:112" ht="20" customHeight="1" x14ac:dyDescent="0.35">
      <c r="A58" s="301"/>
      <c r="B58" s="306" t="s">
        <v>1219</v>
      </c>
      <c r="C58" s="270" t="s">
        <v>1576</v>
      </c>
      <c r="D58" s="270" t="s">
        <v>535</v>
      </c>
      <c r="E58" s="270" t="s">
        <v>54</v>
      </c>
      <c r="F58" s="270" t="s">
        <v>66</v>
      </c>
      <c r="G58" s="270" t="s">
        <v>31</v>
      </c>
      <c r="H58" s="298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94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7"/>
      <c r="AL58" s="288"/>
      <c r="AM58" s="287"/>
      <c r="AN58" s="287"/>
      <c r="AO58" s="287"/>
      <c r="AP58" s="286"/>
      <c r="AQ58" s="29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6"/>
      <c r="BY58" s="289"/>
      <c r="BZ58" s="289"/>
      <c r="CA58" s="289"/>
      <c r="CB58" s="289"/>
      <c r="CC58" s="289"/>
      <c r="CD58" s="289"/>
      <c r="CE58" s="289"/>
      <c r="CF58" s="289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6"/>
      <c r="CT58" s="6"/>
      <c r="CU58" s="6"/>
      <c r="CV58" s="6"/>
      <c r="CW58" s="6"/>
      <c r="CX58" s="6"/>
      <c r="CY58" s="6"/>
      <c r="CZ58" s="6"/>
      <c r="DA58" s="343">
        <f t="shared" si="0"/>
        <v>0</v>
      </c>
      <c r="DH58" s="238">
        <v>14</v>
      </c>
    </row>
    <row r="59" spans="1:112" ht="20" customHeight="1" x14ac:dyDescent="0.35">
      <c r="A59" s="301"/>
      <c r="B59" s="270" t="s">
        <v>1154</v>
      </c>
      <c r="C59" s="270" t="s">
        <v>1577</v>
      </c>
      <c r="D59" s="297" t="s">
        <v>535</v>
      </c>
      <c r="E59" s="270" t="s">
        <v>54</v>
      </c>
      <c r="F59" s="270" t="s">
        <v>783</v>
      </c>
      <c r="G59" s="270" t="s">
        <v>31</v>
      </c>
      <c r="H59" s="298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94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7"/>
      <c r="AL59" s="288"/>
      <c r="AM59" s="287"/>
      <c r="AN59" s="287"/>
      <c r="AO59" s="287"/>
      <c r="AP59" s="286"/>
      <c r="AQ59" s="29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6"/>
      <c r="BY59" s="289"/>
      <c r="BZ59" s="289"/>
      <c r="CA59" s="289"/>
      <c r="CB59" s="289"/>
      <c r="CC59" s="289"/>
      <c r="CD59" s="289"/>
      <c r="CE59" s="289"/>
      <c r="CF59" s="289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6"/>
      <c r="CT59" s="6"/>
      <c r="CU59" s="6"/>
      <c r="CV59" s="6"/>
      <c r="CW59" s="6"/>
      <c r="CX59" s="6"/>
      <c r="CY59" s="6"/>
      <c r="CZ59" s="6"/>
      <c r="DA59" s="343">
        <f t="shared" si="0"/>
        <v>0</v>
      </c>
      <c r="DH59" s="238">
        <v>17</v>
      </c>
    </row>
    <row r="60" spans="1:112" ht="20" customHeight="1" x14ac:dyDescent="0.35">
      <c r="A60" s="301"/>
      <c r="B60" s="270" t="s">
        <v>1220</v>
      </c>
      <c r="C60" s="270" t="s">
        <v>1584</v>
      </c>
      <c r="D60" s="297" t="s">
        <v>535</v>
      </c>
      <c r="E60" s="270" t="s">
        <v>54</v>
      </c>
      <c r="F60" s="270" t="s">
        <v>1137</v>
      </c>
      <c r="G60" s="270" t="s">
        <v>31</v>
      </c>
      <c r="H60" s="298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94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7"/>
      <c r="AL60" s="288"/>
      <c r="AM60" s="287"/>
      <c r="AN60" s="287"/>
      <c r="AO60" s="287"/>
      <c r="AP60" s="286"/>
      <c r="AQ60" s="29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6"/>
      <c r="BY60" s="289"/>
      <c r="BZ60" s="289"/>
      <c r="CA60" s="289"/>
      <c r="CB60" s="289"/>
      <c r="CC60" s="289"/>
      <c r="CD60" s="289"/>
      <c r="CE60" s="289"/>
      <c r="CF60" s="289"/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6"/>
      <c r="CT60" s="6"/>
      <c r="CU60" s="6"/>
      <c r="CV60" s="6"/>
      <c r="CW60" s="6"/>
      <c r="CX60" s="6"/>
      <c r="CY60" s="6"/>
      <c r="CZ60" s="6"/>
      <c r="DA60" s="343">
        <f t="shared" si="0"/>
        <v>0</v>
      </c>
      <c r="DH60" s="238">
        <v>25</v>
      </c>
    </row>
    <row r="61" spans="1:112" ht="20" customHeight="1" x14ac:dyDescent="0.35">
      <c r="A61" s="301"/>
      <c r="B61" s="270" t="s">
        <v>1224</v>
      </c>
      <c r="C61" s="270" t="s">
        <v>2256</v>
      </c>
      <c r="D61" s="297" t="s">
        <v>627</v>
      </c>
      <c r="E61" s="270" t="s">
        <v>1230</v>
      </c>
      <c r="F61" s="270" t="s">
        <v>1603</v>
      </c>
      <c r="G61" s="270" t="s">
        <v>38</v>
      </c>
      <c r="H61" s="298">
        <v>9</v>
      </c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94"/>
      <c r="W61" s="286"/>
      <c r="X61" s="286"/>
      <c r="Y61" s="286"/>
      <c r="Z61" s="286"/>
      <c r="AA61" s="286">
        <v>12</v>
      </c>
      <c r="AB61" s="286"/>
      <c r="AC61" s="286"/>
      <c r="AD61" s="286"/>
      <c r="AE61" s="286"/>
      <c r="AF61" s="286"/>
      <c r="AG61" s="286"/>
      <c r="AH61" s="286"/>
      <c r="AI61" s="286"/>
      <c r="AJ61" s="286"/>
      <c r="AK61" s="287"/>
      <c r="AL61" s="288"/>
      <c r="AM61" s="287"/>
      <c r="AN61" s="287"/>
      <c r="AO61" s="287"/>
      <c r="AP61" s="286"/>
      <c r="AQ61" s="29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7"/>
      <c r="BE61" s="287"/>
      <c r="BF61" s="287"/>
      <c r="BG61" s="288">
        <v>12</v>
      </c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6"/>
      <c r="BY61" s="289"/>
      <c r="BZ61" s="289"/>
      <c r="CA61" s="289"/>
      <c r="CB61" s="289"/>
      <c r="CC61" s="289"/>
      <c r="CD61" s="289"/>
      <c r="CE61" s="289"/>
      <c r="CF61" s="289">
        <v>12.8</v>
      </c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6"/>
      <c r="CT61" s="6"/>
      <c r="CU61" s="6"/>
      <c r="CV61" s="6"/>
      <c r="CW61" s="6"/>
      <c r="CX61" s="6"/>
      <c r="CY61" s="6"/>
      <c r="CZ61" s="6"/>
      <c r="DA61" s="343">
        <f t="shared" si="0"/>
        <v>9</v>
      </c>
      <c r="DH61" s="238">
        <v>5</v>
      </c>
    </row>
    <row r="62" spans="1:112" ht="20" customHeight="1" x14ac:dyDescent="0.35">
      <c r="A62" s="301"/>
      <c r="B62" s="270" t="s">
        <v>1225</v>
      </c>
      <c r="C62" s="270" t="s">
        <v>1604</v>
      </c>
      <c r="D62" s="297" t="s">
        <v>627</v>
      </c>
      <c r="E62" s="270" t="s">
        <v>1230</v>
      </c>
      <c r="F62" s="270" t="s">
        <v>1603</v>
      </c>
      <c r="G62" s="270" t="s">
        <v>38</v>
      </c>
      <c r="H62" s="298">
        <v>9</v>
      </c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94"/>
      <c r="W62" s="286"/>
      <c r="X62" s="286"/>
      <c r="Y62" s="286"/>
      <c r="Z62" s="286"/>
      <c r="AA62" s="286">
        <v>12</v>
      </c>
      <c r="AB62" s="286"/>
      <c r="AC62" s="286"/>
      <c r="AD62" s="286"/>
      <c r="AE62" s="286"/>
      <c r="AF62" s="286"/>
      <c r="AG62" s="286"/>
      <c r="AH62" s="286"/>
      <c r="AI62" s="286"/>
      <c r="AJ62" s="286"/>
      <c r="AK62" s="287"/>
      <c r="AL62" s="288"/>
      <c r="AM62" s="287"/>
      <c r="AN62" s="287"/>
      <c r="AO62" s="287"/>
      <c r="AP62" s="286"/>
      <c r="AQ62" s="29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7"/>
      <c r="BE62" s="287"/>
      <c r="BF62" s="287"/>
      <c r="BG62" s="288">
        <v>12</v>
      </c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6"/>
      <c r="BY62" s="289"/>
      <c r="BZ62" s="289"/>
      <c r="CA62" s="289"/>
      <c r="CB62" s="289"/>
      <c r="CC62" s="289"/>
      <c r="CD62" s="289"/>
      <c r="CE62" s="289"/>
      <c r="CF62" s="289">
        <v>12.8</v>
      </c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6"/>
      <c r="CT62" s="6"/>
      <c r="CU62" s="6"/>
      <c r="CV62" s="6"/>
      <c r="CW62" s="6"/>
      <c r="CX62" s="6"/>
      <c r="CY62" s="6"/>
      <c r="CZ62" s="6"/>
      <c r="DA62" s="343">
        <f t="shared" si="0"/>
        <v>9</v>
      </c>
      <c r="DH62" s="238">
        <v>7.5</v>
      </c>
    </row>
    <row r="63" spans="1:112" ht="20" customHeight="1" x14ac:dyDescent="0.35">
      <c r="A63" s="301" t="s">
        <v>1277</v>
      </c>
      <c r="B63" s="270" t="s">
        <v>1226</v>
      </c>
      <c r="C63" s="270" t="s">
        <v>1605</v>
      </c>
      <c r="D63" s="297" t="s">
        <v>627</v>
      </c>
      <c r="E63" s="270" t="s">
        <v>1230</v>
      </c>
      <c r="F63" s="270" t="s">
        <v>1603</v>
      </c>
      <c r="G63" s="270" t="s">
        <v>38</v>
      </c>
      <c r="H63" s="298">
        <v>9</v>
      </c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94"/>
      <c r="W63" s="286"/>
      <c r="X63" s="286"/>
      <c r="Y63" s="286"/>
      <c r="Z63" s="286"/>
      <c r="AA63" s="286">
        <v>12</v>
      </c>
      <c r="AB63" s="286"/>
      <c r="AC63" s="286"/>
      <c r="AD63" s="286"/>
      <c r="AE63" s="286"/>
      <c r="AF63" s="286"/>
      <c r="AG63" s="286"/>
      <c r="AH63" s="286"/>
      <c r="AI63" s="286"/>
      <c r="AJ63" s="286"/>
      <c r="AK63" s="287"/>
      <c r="AL63" s="288"/>
      <c r="AM63" s="287"/>
      <c r="AN63" s="287"/>
      <c r="AO63" s="287"/>
      <c r="AP63" s="286"/>
      <c r="AQ63" s="29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7"/>
      <c r="BE63" s="287"/>
      <c r="BF63" s="287"/>
      <c r="BG63" s="288">
        <v>12</v>
      </c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6"/>
      <c r="BY63" s="289"/>
      <c r="BZ63" s="289"/>
      <c r="CA63" s="289"/>
      <c r="CB63" s="289"/>
      <c r="CC63" s="289"/>
      <c r="CD63" s="289"/>
      <c r="CE63" s="289"/>
      <c r="CF63" s="289">
        <v>12.8</v>
      </c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6"/>
      <c r="CT63" s="6"/>
      <c r="CU63" s="6"/>
      <c r="CV63" s="6"/>
      <c r="CW63" s="6"/>
      <c r="CX63" s="6"/>
      <c r="CY63" s="6"/>
      <c r="CZ63" s="6"/>
      <c r="DA63" s="343">
        <f t="shared" si="0"/>
        <v>9</v>
      </c>
      <c r="DH63" s="238">
        <v>28</v>
      </c>
    </row>
    <row r="64" spans="1:112" ht="20" customHeight="1" x14ac:dyDescent="0.35">
      <c r="A64" s="301" t="s">
        <v>1278</v>
      </c>
      <c r="B64" s="270" t="s">
        <v>1227</v>
      </c>
      <c r="C64" s="270" t="s">
        <v>1606</v>
      </c>
      <c r="D64" s="297" t="s">
        <v>627</v>
      </c>
      <c r="E64" s="270" t="s">
        <v>1230</v>
      </c>
      <c r="F64" s="270" t="s">
        <v>1603</v>
      </c>
      <c r="G64" s="270" t="s">
        <v>38</v>
      </c>
      <c r="H64" s="298">
        <v>9</v>
      </c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94"/>
      <c r="W64" s="286"/>
      <c r="X64" s="286"/>
      <c r="Y64" s="286"/>
      <c r="Z64" s="286"/>
      <c r="AA64" s="286">
        <v>12</v>
      </c>
      <c r="AB64" s="286"/>
      <c r="AC64" s="286"/>
      <c r="AD64" s="286"/>
      <c r="AE64" s="286"/>
      <c r="AF64" s="286"/>
      <c r="AG64" s="286"/>
      <c r="AH64" s="286"/>
      <c r="AI64" s="286"/>
      <c r="AJ64" s="286"/>
      <c r="AK64" s="287"/>
      <c r="AL64" s="288"/>
      <c r="AM64" s="287"/>
      <c r="AN64" s="287"/>
      <c r="AO64" s="287"/>
      <c r="AP64" s="286"/>
      <c r="AQ64" s="29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7"/>
      <c r="BE64" s="287"/>
      <c r="BF64" s="287"/>
      <c r="BG64" s="288">
        <v>12</v>
      </c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6"/>
      <c r="BY64" s="289"/>
      <c r="BZ64" s="289"/>
      <c r="CA64" s="289"/>
      <c r="CB64" s="289"/>
      <c r="CC64" s="289"/>
      <c r="CD64" s="289"/>
      <c r="CE64" s="289"/>
      <c r="CF64" s="289">
        <v>12.8</v>
      </c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6"/>
      <c r="CT64" s="6"/>
      <c r="CU64" s="6"/>
      <c r="CV64" s="6"/>
      <c r="CW64" s="6"/>
      <c r="CX64" s="6"/>
      <c r="CY64" s="6"/>
      <c r="CZ64" s="6"/>
      <c r="DA64" s="343">
        <f t="shared" si="0"/>
        <v>9</v>
      </c>
      <c r="DH64" s="238">
        <v>3</v>
      </c>
    </row>
    <row r="65" spans="1:112" ht="20" customHeight="1" x14ac:dyDescent="0.35">
      <c r="A65" s="301"/>
      <c r="B65" s="270" t="s">
        <v>1228</v>
      </c>
      <c r="C65" s="270" t="s">
        <v>1607</v>
      </c>
      <c r="D65" s="297" t="s">
        <v>627</v>
      </c>
      <c r="E65" s="270" t="s">
        <v>1230</v>
      </c>
      <c r="F65" s="270" t="s">
        <v>1603</v>
      </c>
      <c r="G65" s="270" t="s">
        <v>38</v>
      </c>
      <c r="H65" s="298">
        <v>9</v>
      </c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94"/>
      <c r="W65" s="286"/>
      <c r="X65" s="286"/>
      <c r="Y65" s="286"/>
      <c r="Z65" s="286"/>
      <c r="AA65" s="286">
        <v>21</v>
      </c>
      <c r="AB65" s="286"/>
      <c r="AC65" s="286"/>
      <c r="AD65" s="286"/>
      <c r="AE65" s="286"/>
      <c r="AF65" s="286"/>
      <c r="AG65" s="286"/>
      <c r="AH65" s="286"/>
      <c r="AI65" s="286"/>
      <c r="AJ65" s="286"/>
      <c r="AK65" s="287"/>
      <c r="AL65" s="288"/>
      <c r="AM65" s="287"/>
      <c r="AN65" s="287"/>
      <c r="AO65" s="287"/>
      <c r="AP65" s="286"/>
      <c r="AQ65" s="29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7"/>
      <c r="BE65" s="287"/>
      <c r="BF65" s="287"/>
      <c r="BG65" s="288">
        <v>12</v>
      </c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6"/>
      <c r="BY65" s="289"/>
      <c r="BZ65" s="289"/>
      <c r="CA65" s="289"/>
      <c r="CB65" s="289"/>
      <c r="CC65" s="289"/>
      <c r="CD65" s="289"/>
      <c r="CE65" s="289"/>
      <c r="CF65" s="289">
        <v>12.8</v>
      </c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6"/>
      <c r="CT65" s="6"/>
      <c r="CU65" s="6"/>
      <c r="CV65" s="6"/>
      <c r="CW65" s="6"/>
      <c r="CX65" s="6"/>
      <c r="CY65" s="6"/>
      <c r="CZ65" s="6"/>
      <c r="DA65" s="343">
        <f t="shared" si="0"/>
        <v>9</v>
      </c>
      <c r="DH65" s="238">
        <v>19</v>
      </c>
    </row>
    <row r="66" spans="1:112" ht="20" customHeight="1" x14ac:dyDescent="0.35">
      <c r="A66" s="301"/>
      <c r="B66" s="270" t="s">
        <v>2255</v>
      </c>
      <c r="C66" s="270" t="s">
        <v>2257</v>
      </c>
      <c r="D66" s="297" t="s">
        <v>627</v>
      </c>
      <c r="E66" s="270" t="s">
        <v>1230</v>
      </c>
      <c r="F66" s="270" t="s">
        <v>1603</v>
      </c>
      <c r="G66" s="270" t="s">
        <v>38</v>
      </c>
      <c r="H66" s="298">
        <v>10</v>
      </c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94"/>
      <c r="W66" s="286"/>
      <c r="X66" s="286"/>
      <c r="Y66" s="286"/>
      <c r="Z66" s="286"/>
      <c r="AA66" s="286">
        <v>13</v>
      </c>
      <c r="AB66" s="286"/>
      <c r="AC66" s="286"/>
      <c r="AD66" s="286"/>
      <c r="AE66" s="286"/>
      <c r="AF66" s="286"/>
      <c r="AG66" s="286"/>
      <c r="AH66" s="286"/>
      <c r="AI66" s="286"/>
      <c r="AJ66" s="286"/>
      <c r="AK66" s="287"/>
      <c r="AL66" s="288"/>
      <c r="AM66" s="287"/>
      <c r="AN66" s="287"/>
      <c r="AO66" s="287"/>
      <c r="AP66" s="286"/>
      <c r="AQ66" s="29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7"/>
      <c r="BE66" s="287"/>
      <c r="BF66" s="287"/>
      <c r="BG66" s="288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6"/>
      <c r="BY66" s="289"/>
      <c r="BZ66" s="289"/>
      <c r="CA66" s="289"/>
      <c r="CB66" s="289"/>
      <c r="CC66" s="289"/>
      <c r="CD66" s="289"/>
      <c r="CE66" s="289"/>
      <c r="CF66" s="289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6"/>
      <c r="CT66" s="6"/>
      <c r="CU66" s="6"/>
      <c r="CV66" s="6"/>
      <c r="CW66" s="6"/>
      <c r="CX66" s="6"/>
      <c r="CY66" s="6"/>
      <c r="CZ66" s="6"/>
      <c r="DA66" s="343">
        <f>H66</f>
        <v>10</v>
      </c>
      <c r="DH66" s="238">
        <v>18</v>
      </c>
    </row>
    <row r="67" spans="1:112" ht="20" customHeight="1" x14ac:dyDescent="0.35">
      <c r="A67" s="301"/>
      <c r="B67" s="270" t="s">
        <v>1229</v>
      </c>
      <c r="C67" s="270" t="s">
        <v>1608</v>
      </c>
      <c r="D67" s="297" t="s">
        <v>627</v>
      </c>
      <c r="E67" s="270" t="s">
        <v>1230</v>
      </c>
      <c r="F67" s="270" t="s">
        <v>1603</v>
      </c>
      <c r="G67" s="270" t="s">
        <v>38</v>
      </c>
      <c r="H67" s="298">
        <v>10</v>
      </c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94"/>
      <c r="W67" s="286"/>
      <c r="X67" s="286"/>
      <c r="Y67" s="286"/>
      <c r="Z67" s="286"/>
      <c r="AA67" s="286">
        <v>13</v>
      </c>
      <c r="AB67" s="286"/>
      <c r="AC67" s="286"/>
      <c r="AD67" s="286"/>
      <c r="AE67" s="286"/>
      <c r="AF67" s="286"/>
      <c r="AG67" s="286"/>
      <c r="AH67" s="286"/>
      <c r="AI67" s="286"/>
      <c r="AJ67" s="286"/>
      <c r="AK67" s="287"/>
      <c r="AL67" s="288"/>
      <c r="AM67" s="287"/>
      <c r="AN67" s="287"/>
      <c r="AO67" s="287"/>
      <c r="AP67" s="286"/>
      <c r="AQ67" s="29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7"/>
      <c r="BE67" s="287"/>
      <c r="BF67" s="287"/>
      <c r="BG67" s="288">
        <v>13</v>
      </c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6"/>
      <c r="BY67" s="289"/>
      <c r="BZ67" s="289"/>
      <c r="CA67" s="289"/>
      <c r="CB67" s="289"/>
      <c r="CC67" s="289"/>
      <c r="CD67" s="289"/>
      <c r="CE67" s="289"/>
      <c r="CF67" s="289">
        <v>12.8</v>
      </c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6"/>
      <c r="CT67" s="6"/>
      <c r="CU67" s="6"/>
      <c r="CV67" s="6"/>
      <c r="CW67" s="6"/>
      <c r="CX67" s="6"/>
      <c r="CY67" s="6"/>
      <c r="CZ67" s="6"/>
      <c r="DA67" s="343">
        <f t="shared" ref="DA67" si="3">H67</f>
        <v>10</v>
      </c>
      <c r="DH67" s="238">
        <v>18</v>
      </c>
    </row>
    <row r="68" spans="1:112" ht="20" customHeight="1" x14ac:dyDescent="0.35">
      <c r="A68" s="301">
        <v>520740</v>
      </c>
      <c r="B68" s="270" t="s">
        <v>1299</v>
      </c>
      <c r="C68" s="270" t="s">
        <v>1585</v>
      </c>
      <c r="D68" s="297" t="s">
        <v>535</v>
      </c>
      <c r="E68" s="270" t="s">
        <v>54</v>
      </c>
      <c r="F68" s="270" t="s">
        <v>636</v>
      </c>
      <c r="G68" s="270" t="s">
        <v>156</v>
      </c>
      <c r="H68" s="298">
        <v>5.86</v>
      </c>
      <c r="I68" s="300">
        <v>10.5</v>
      </c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94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>
        <v>10</v>
      </c>
      <c r="AK68" s="295"/>
      <c r="AL68" s="288"/>
      <c r="AM68" s="287"/>
      <c r="AN68" s="287"/>
      <c r="AO68" s="287"/>
      <c r="AP68" s="286"/>
      <c r="AQ68" s="296">
        <v>10.5</v>
      </c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7"/>
      <c r="BE68" s="287"/>
      <c r="BF68" s="287"/>
      <c r="BG68" s="288">
        <v>10</v>
      </c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6"/>
      <c r="BY68" s="289"/>
      <c r="BZ68" s="289"/>
      <c r="CA68" s="289"/>
      <c r="CB68" s="289"/>
      <c r="CC68" s="289"/>
      <c r="CD68" s="289"/>
      <c r="CE68" s="289"/>
      <c r="CF68" s="289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>
        <v>11</v>
      </c>
      <c r="CR68" s="307"/>
      <c r="CS68" s="308">
        <v>9.5</v>
      </c>
      <c r="CT68" s="6"/>
      <c r="CU68" s="6"/>
      <c r="CV68" s="6"/>
      <c r="CW68" s="6"/>
      <c r="CX68" s="6"/>
      <c r="CY68" s="6"/>
      <c r="CZ68" s="6"/>
      <c r="DA68" s="343">
        <f t="shared" si="0"/>
        <v>5.86</v>
      </c>
      <c r="DH68" s="238">
        <v>5</v>
      </c>
    </row>
    <row r="69" spans="1:112" ht="20" customHeight="1" x14ac:dyDescent="0.35">
      <c r="A69" s="301" t="s">
        <v>2302</v>
      </c>
      <c r="B69" s="270" t="s">
        <v>1299</v>
      </c>
      <c r="C69" s="270" t="s">
        <v>1585</v>
      </c>
      <c r="D69" s="297" t="s">
        <v>535</v>
      </c>
      <c r="E69" s="270" t="s">
        <v>54</v>
      </c>
      <c r="F69" s="270" t="s">
        <v>636</v>
      </c>
      <c r="G69" s="270" t="s">
        <v>156</v>
      </c>
      <c r="H69" s="298">
        <v>5.86</v>
      </c>
      <c r="I69" s="300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94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95"/>
      <c r="AL69" s="288"/>
      <c r="AM69" s="287"/>
      <c r="AN69" s="287"/>
      <c r="AO69" s="287"/>
      <c r="AP69" s="286"/>
      <c r="AQ69" s="29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7"/>
      <c r="BE69" s="287"/>
      <c r="BF69" s="287"/>
      <c r="BG69" s="288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6"/>
      <c r="BY69" s="289"/>
      <c r="BZ69" s="289"/>
      <c r="CA69" s="289"/>
      <c r="CB69" s="289"/>
      <c r="CC69" s="289"/>
      <c r="CD69" s="289"/>
      <c r="CE69" s="289"/>
      <c r="CF69" s="289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>
        <v>11</v>
      </c>
      <c r="CR69" s="307"/>
      <c r="CS69" s="308">
        <v>9.5</v>
      </c>
      <c r="CT69" s="6"/>
      <c r="CU69" s="6"/>
      <c r="CV69" s="6"/>
      <c r="CW69" s="6"/>
      <c r="CX69" s="6"/>
      <c r="CY69" s="6"/>
      <c r="CZ69" s="6"/>
      <c r="DA69" s="343">
        <f t="shared" ref="DA69" si="4">H69</f>
        <v>5.86</v>
      </c>
      <c r="DH69" s="238">
        <v>5</v>
      </c>
    </row>
    <row r="70" spans="1:112" ht="20" customHeight="1" x14ac:dyDescent="0.35">
      <c r="A70" s="309"/>
      <c r="B70" s="270" t="s">
        <v>1361</v>
      </c>
      <c r="C70" s="270" t="s">
        <v>1586</v>
      </c>
      <c r="D70" s="297" t="s">
        <v>535</v>
      </c>
      <c r="E70" s="270" t="s">
        <v>34</v>
      </c>
      <c r="F70" s="270" t="s">
        <v>1363</v>
      </c>
      <c r="G70" s="270" t="s">
        <v>31</v>
      </c>
      <c r="H70" s="298">
        <v>2.4</v>
      </c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94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>
        <v>3.4</v>
      </c>
      <c r="AK70" s="295"/>
      <c r="AL70" s="288"/>
      <c r="AM70" s="287"/>
      <c r="AN70" s="287"/>
      <c r="AO70" s="287"/>
      <c r="AP70" s="286"/>
      <c r="AQ70" s="296">
        <v>3.5</v>
      </c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7"/>
      <c r="BE70" s="287"/>
      <c r="BF70" s="287"/>
      <c r="BG70" s="288">
        <v>3.5</v>
      </c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6"/>
      <c r="BY70" s="289"/>
      <c r="BZ70" s="289"/>
      <c r="CA70" s="289"/>
      <c r="CB70" s="289"/>
      <c r="CC70" s="289"/>
      <c r="CD70" s="289"/>
      <c r="CE70" s="289"/>
      <c r="CF70" s="289"/>
      <c r="CG70" s="287"/>
      <c r="CH70" s="287"/>
      <c r="CI70" s="287"/>
      <c r="CJ70" s="287"/>
      <c r="CK70" s="287"/>
      <c r="CL70" s="287">
        <v>3.5</v>
      </c>
      <c r="CM70" s="287"/>
      <c r="CN70" s="287"/>
      <c r="CO70" s="287"/>
      <c r="CP70" s="287"/>
      <c r="CQ70" s="287"/>
      <c r="CR70" s="287"/>
      <c r="CS70" s="6"/>
      <c r="CT70" s="6"/>
      <c r="CU70" s="6"/>
      <c r="CV70" s="6"/>
      <c r="CW70" s="6"/>
      <c r="CX70" s="6"/>
      <c r="CY70" s="6"/>
      <c r="CZ70" s="6"/>
      <c r="DA70" s="343">
        <f t="shared" si="0"/>
        <v>2.4</v>
      </c>
      <c r="DH70" s="238">
        <v>0.8</v>
      </c>
    </row>
    <row r="71" spans="1:112" ht="20" customHeight="1" x14ac:dyDescent="0.35">
      <c r="A71" s="301"/>
      <c r="B71" s="270" t="s">
        <v>1362</v>
      </c>
      <c r="C71" s="270" t="s">
        <v>1587</v>
      </c>
      <c r="D71" s="297" t="s">
        <v>535</v>
      </c>
      <c r="E71" s="270" t="s">
        <v>34</v>
      </c>
      <c r="F71" s="270" t="s">
        <v>1363</v>
      </c>
      <c r="G71" s="270" t="s">
        <v>31</v>
      </c>
      <c r="H71" s="298">
        <v>2.4</v>
      </c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94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>
        <v>3.4</v>
      </c>
      <c r="AK71" s="295"/>
      <c r="AL71" s="288"/>
      <c r="AM71" s="287"/>
      <c r="AN71" s="287"/>
      <c r="AO71" s="287"/>
      <c r="AP71" s="286"/>
      <c r="AQ71" s="29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7"/>
      <c r="BE71" s="287"/>
      <c r="BF71" s="287"/>
      <c r="BG71" s="288">
        <v>3.5</v>
      </c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6"/>
      <c r="BY71" s="289"/>
      <c r="BZ71" s="289"/>
      <c r="CA71" s="289"/>
      <c r="CB71" s="289"/>
      <c r="CC71" s="289"/>
      <c r="CD71" s="289"/>
      <c r="CE71" s="289"/>
      <c r="CF71" s="289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6"/>
      <c r="CT71" s="6"/>
      <c r="CU71" s="6"/>
      <c r="CV71" s="6"/>
      <c r="CW71" s="6"/>
      <c r="CX71" s="6"/>
      <c r="CY71" s="6"/>
      <c r="CZ71" s="6"/>
      <c r="DA71" s="343">
        <f t="shared" si="0"/>
        <v>2.4</v>
      </c>
      <c r="DH71" s="238">
        <v>1</v>
      </c>
    </row>
    <row r="72" spans="1:112" ht="20" customHeight="1" x14ac:dyDescent="0.35">
      <c r="A72" s="301"/>
      <c r="B72" s="270" t="s">
        <v>1483</v>
      </c>
      <c r="C72" s="270" t="s">
        <v>1588</v>
      </c>
      <c r="D72" s="270" t="s">
        <v>535</v>
      </c>
      <c r="E72" s="270" t="s">
        <v>743</v>
      </c>
      <c r="F72" s="270" t="s">
        <v>1484</v>
      </c>
      <c r="G72" s="270" t="s">
        <v>39</v>
      </c>
      <c r="H72" s="298">
        <f>43.2/24</f>
        <v>1.8</v>
      </c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94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7"/>
      <c r="AL72" s="288"/>
      <c r="AM72" s="287"/>
      <c r="AN72" s="287"/>
      <c r="AO72" s="287"/>
      <c r="AP72" s="286"/>
      <c r="AQ72" s="29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7"/>
      <c r="BE72" s="287"/>
      <c r="BF72" s="287"/>
      <c r="BG72" s="288">
        <v>2.1</v>
      </c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6"/>
      <c r="BY72" s="289"/>
      <c r="BZ72" s="289"/>
      <c r="CA72" s="289"/>
      <c r="CB72" s="289"/>
      <c r="CC72" s="289"/>
      <c r="CD72" s="289"/>
      <c r="CE72" s="289"/>
      <c r="CF72" s="289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>
        <v>2.4</v>
      </c>
      <c r="CS72" s="6"/>
      <c r="CT72" s="6"/>
      <c r="CU72" s="6"/>
      <c r="CV72" s="6"/>
      <c r="CW72" s="6"/>
      <c r="CX72" s="6"/>
      <c r="CY72" s="6"/>
      <c r="CZ72" s="6"/>
      <c r="DA72" s="343">
        <f t="shared" si="0"/>
        <v>1.8</v>
      </c>
      <c r="DH72" s="238">
        <v>20</v>
      </c>
    </row>
    <row r="73" spans="1:112" ht="20" customHeight="1" x14ac:dyDescent="0.35">
      <c r="A73" s="301"/>
      <c r="B73" s="270" t="s">
        <v>1485</v>
      </c>
      <c r="C73" s="270" t="s">
        <v>1589</v>
      </c>
      <c r="D73" s="270" t="s">
        <v>535</v>
      </c>
      <c r="E73" s="270" t="s">
        <v>1221</v>
      </c>
      <c r="F73" s="270" t="s">
        <v>66</v>
      </c>
      <c r="G73" s="270" t="s">
        <v>31</v>
      </c>
      <c r="H73" s="298">
        <v>6</v>
      </c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94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7"/>
      <c r="AL73" s="288"/>
      <c r="AM73" s="287"/>
      <c r="AN73" s="287"/>
      <c r="AO73" s="287"/>
      <c r="AP73" s="286"/>
      <c r="AQ73" s="29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7"/>
      <c r="BE73" s="287"/>
      <c r="BF73" s="287"/>
      <c r="BG73" s="288">
        <v>8.5</v>
      </c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6"/>
      <c r="BY73" s="289"/>
      <c r="BZ73" s="289"/>
      <c r="CA73" s="289"/>
      <c r="CB73" s="289"/>
      <c r="CC73" s="289"/>
      <c r="CD73" s="289"/>
      <c r="CE73" s="289"/>
      <c r="CF73" s="289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6"/>
      <c r="CT73" s="6"/>
      <c r="CU73" s="6"/>
      <c r="CV73" s="6"/>
      <c r="CW73" s="6"/>
      <c r="CX73" s="6"/>
      <c r="CY73" s="6"/>
      <c r="CZ73" s="6"/>
      <c r="DA73" s="343">
        <f t="shared" si="0"/>
        <v>6</v>
      </c>
      <c r="DH73" s="238">
        <v>32</v>
      </c>
    </row>
    <row r="74" spans="1:112" ht="20" customHeight="1" x14ac:dyDescent="0.35">
      <c r="A74" s="301"/>
      <c r="B74" s="270" t="s">
        <v>1524</v>
      </c>
      <c r="C74" s="270" t="s">
        <v>1525</v>
      </c>
      <c r="D74" s="270" t="s">
        <v>655</v>
      </c>
      <c r="E74" s="270" t="s">
        <v>54</v>
      </c>
      <c r="F74" s="270" t="s">
        <v>66</v>
      </c>
      <c r="G74" s="270" t="s">
        <v>39</v>
      </c>
      <c r="H74" s="298">
        <v>1.93</v>
      </c>
      <c r="I74" s="286"/>
      <c r="J74" s="286"/>
      <c r="K74" s="286"/>
      <c r="L74" s="286"/>
      <c r="M74" s="286"/>
      <c r="N74" s="286"/>
      <c r="O74" s="286"/>
      <c r="P74" s="286"/>
      <c r="Q74" s="286"/>
      <c r="R74" s="286">
        <v>4.5</v>
      </c>
      <c r="S74" s="286"/>
      <c r="T74" s="286"/>
      <c r="U74" s="286"/>
      <c r="V74" s="294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7">
        <v>4.8</v>
      </c>
      <c r="AL74" s="288"/>
      <c r="AM74" s="287"/>
      <c r="AN74" s="287"/>
      <c r="AO74" s="287"/>
      <c r="AP74" s="286"/>
      <c r="AQ74" s="296">
        <v>4</v>
      </c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7"/>
      <c r="BE74" s="287"/>
      <c r="BF74" s="287"/>
      <c r="BG74" s="288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6"/>
      <c r="BY74" s="289"/>
      <c r="BZ74" s="289"/>
      <c r="CA74" s="289"/>
      <c r="CB74" s="289"/>
      <c r="CC74" s="289"/>
      <c r="CD74" s="289"/>
      <c r="CE74" s="289"/>
      <c r="CF74" s="289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>
        <v>4.8</v>
      </c>
      <c r="CS74" s="6"/>
      <c r="CT74" s="6"/>
      <c r="CU74" s="6"/>
      <c r="CV74" s="6"/>
      <c r="CW74" s="6"/>
      <c r="CX74" s="6"/>
      <c r="CY74" s="6"/>
      <c r="CZ74" s="6"/>
      <c r="DA74" s="343">
        <f t="shared" si="0"/>
        <v>1.93</v>
      </c>
      <c r="DH74" s="238"/>
    </row>
    <row r="75" spans="1:112" ht="20" customHeight="1" x14ac:dyDescent="0.35">
      <c r="A75" s="301"/>
      <c r="B75" s="270" t="s">
        <v>1714</v>
      </c>
      <c r="C75" s="270" t="s">
        <v>1715</v>
      </c>
      <c r="D75" s="270" t="s">
        <v>34</v>
      </c>
      <c r="E75" s="270" t="s">
        <v>54</v>
      </c>
      <c r="F75" s="270" t="s">
        <v>66</v>
      </c>
      <c r="G75" s="270" t="s">
        <v>31</v>
      </c>
      <c r="H75" s="298">
        <f>((11/1000*500)+(12/6000*500))/6+0.35</f>
        <v>1.4333333333333331</v>
      </c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94"/>
      <c r="W75" s="286"/>
      <c r="X75" s="286"/>
      <c r="Y75" s="286"/>
      <c r="Z75" s="286"/>
      <c r="AA75" s="286"/>
      <c r="AB75" s="286"/>
      <c r="AC75" s="286"/>
      <c r="AD75" s="286">
        <v>5</v>
      </c>
      <c r="AE75" s="286"/>
      <c r="AF75" s="286"/>
      <c r="AG75" s="286"/>
      <c r="AH75" s="286"/>
      <c r="AI75" s="286"/>
      <c r="AJ75" s="286"/>
      <c r="AK75" s="287"/>
      <c r="AL75" s="288"/>
      <c r="AM75" s="287"/>
      <c r="AN75" s="287"/>
      <c r="AO75" s="287"/>
      <c r="AP75" s="286"/>
      <c r="AQ75" s="29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7"/>
      <c r="BE75" s="287"/>
      <c r="BF75" s="287"/>
      <c r="BG75" s="288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6"/>
      <c r="BY75" s="289"/>
      <c r="BZ75" s="289"/>
      <c r="CA75" s="289"/>
      <c r="CB75" s="289"/>
      <c r="CC75" s="289"/>
      <c r="CD75" s="289"/>
      <c r="CE75" s="289"/>
      <c r="CF75" s="289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6"/>
      <c r="CT75" s="6"/>
      <c r="CU75" s="6"/>
      <c r="CV75" s="6"/>
      <c r="CW75" s="6"/>
      <c r="CX75" s="6"/>
      <c r="CY75" s="6"/>
      <c r="CZ75" s="6"/>
      <c r="DA75" s="343">
        <f t="shared" ref="DA75:DA152" si="5">H75</f>
        <v>1.4333333333333331</v>
      </c>
      <c r="DH75" s="238"/>
    </row>
    <row r="76" spans="1:112" ht="20" customHeight="1" x14ac:dyDescent="0.35">
      <c r="A76" s="301"/>
      <c r="B76" s="270" t="s">
        <v>1724</v>
      </c>
      <c r="C76" s="270" t="s">
        <v>1804</v>
      </c>
      <c r="D76" s="270" t="s">
        <v>34</v>
      </c>
      <c r="E76" s="270" t="s">
        <v>54</v>
      </c>
      <c r="F76" s="270" t="s">
        <v>1725</v>
      </c>
      <c r="G76" s="270" t="s">
        <v>31</v>
      </c>
      <c r="H76" s="298">
        <f>(55/30000*250/2)+0.33</f>
        <v>0.5591666666666667</v>
      </c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94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7"/>
      <c r="AL76" s="288"/>
      <c r="AM76" s="287"/>
      <c r="AN76" s="287"/>
      <c r="AO76" s="287"/>
      <c r="AP76" s="286"/>
      <c r="AQ76" s="296">
        <v>3</v>
      </c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7"/>
      <c r="BE76" s="287"/>
      <c r="BF76" s="287"/>
      <c r="BG76" s="288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6"/>
      <c r="BY76" s="289"/>
      <c r="BZ76" s="289"/>
      <c r="CA76" s="289"/>
      <c r="CB76" s="289"/>
      <c r="CC76" s="289"/>
      <c r="CD76" s="289"/>
      <c r="CE76" s="289"/>
      <c r="CF76" s="289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6"/>
      <c r="CT76" s="6"/>
      <c r="CU76" s="6"/>
      <c r="CV76" s="6"/>
      <c r="CW76" s="6"/>
      <c r="CX76" s="6"/>
      <c r="CY76" s="6"/>
      <c r="CZ76" s="6"/>
      <c r="DA76" s="343">
        <f t="shared" si="5"/>
        <v>0.5591666666666667</v>
      </c>
      <c r="DH76" s="238"/>
    </row>
    <row r="77" spans="1:112" ht="20" customHeight="1" x14ac:dyDescent="0.35">
      <c r="A77" s="301"/>
      <c r="B77" s="270" t="s">
        <v>1742</v>
      </c>
      <c r="C77" s="270" t="s">
        <v>1900</v>
      </c>
      <c r="D77" s="270" t="s">
        <v>34</v>
      </c>
      <c r="E77" s="270" t="s">
        <v>54</v>
      </c>
      <c r="F77" s="270" t="s">
        <v>1725</v>
      </c>
      <c r="G77" s="270" t="s">
        <v>31</v>
      </c>
      <c r="H77" s="298">
        <v>3.32</v>
      </c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94"/>
      <c r="W77" s="286"/>
      <c r="X77" s="286"/>
      <c r="Y77" s="286"/>
      <c r="Z77" s="286"/>
      <c r="AA77" s="286"/>
      <c r="AB77" s="286"/>
      <c r="AC77" s="286"/>
      <c r="AD77" s="300">
        <v>6</v>
      </c>
      <c r="AE77" s="286"/>
      <c r="AF77" s="286"/>
      <c r="AG77" s="286"/>
      <c r="AH77" s="286"/>
      <c r="AI77" s="286"/>
      <c r="AJ77" s="286"/>
      <c r="AK77" s="287"/>
      <c r="AL77" s="288"/>
      <c r="AM77" s="287"/>
      <c r="AN77" s="287"/>
      <c r="AO77" s="287"/>
      <c r="AP77" s="286"/>
      <c r="AQ77" s="29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7"/>
      <c r="BE77" s="287"/>
      <c r="BF77" s="287"/>
      <c r="BG77" s="288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6"/>
      <c r="BY77" s="289"/>
      <c r="BZ77" s="289"/>
      <c r="CA77" s="289"/>
      <c r="CB77" s="289"/>
      <c r="CC77" s="289"/>
      <c r="CD77" s="289"/>
      <c r="CE77" s="289"/>
      <c r="CF77" s="289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6"/>
      <c r="CT77" s="6"/>
      <c r="CU77" s="6"/>
      <c r="CV77" s="6"/>
      <c r="CW77" s="6"/>
      <c r="CX77" s="6"/>
      <c r="CY77" s="6"/>
      <c r="CZ77" s="6"/>
      <c r="DA77" s="343">
        <v>3.32</v>
      </c>
      <c r="DH77" s="238"/>
    </row>
    <row r="78" spans="1:112" ht="20" customHeight="1" x14ac:dyDescent="0.35">
      <c r="A78" s="301"/>
      <c r="B78" s="132" t="s">
        <v>1943</v>
      </c>
      <c r="C78" s="132" t="s">
        <v>1944</v>
      </c>
      <c r="D78" s="270" t="s">
        <v>34</v>
      </c>
      <c r="E78" s="270" t="s">
        <v>54</v>
      </c>
      <c r="F78" s="270" t="s">
        <v>1945</v>
      </c>
      <c r="G78" s="132" t="s">
        <v>31</v>
      </c>
      <c r="H78" s="355">
        <v>1.76</v>
      </c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94"/>
      <c r="W78" s="286"/>
      <c r="X78" s="286"/>
      <c r="Y78" s="286"/>
      <c r="Z78" s="286"/>
      <c r="AA78" s="286"/>
      <c r="AB78" s="286"/>
      <c r="AC78" s="286"/>
      <c r="AD78" s="300"/>
      <c r="AE78" s="286"/>
      <c r="AF78" s="286"/>
      <c r="AG78" s="286"/>
      <c r="AH78" s="286"/>
      <c r="AI78" s="286"/>
      <c r="AJ78" s="286"/>
      <c r="AK78" s="287"/>
      <c r="AL78" s="288"/>
      <c r="AM78" s="287"/>
      <c r="AN78" s="287"/>
      <c r="AO78" s="287"/>
      <c r="AP78" s="286"/>
      <c r="AQ78" s="29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7"/>
      <c r="BE78" s="287"/>
      <c r="BF78" s="287"/>
      <c r="BG78" s="288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6"/>
      <c r="BY78" s="289"/>
      <c r="BZ78" s="289"/>
      <c r="CA78" s="289"/>
      <c r="CB78" s="289"/>
      <c r="CC78" s="289"/>
      <c r="CD78" s="289"/>
      <c r="CE78" s="289"/>
      <c r="CF78" s="289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6"/>
      <c r="CT78" s="6"/>
      <c r="CU78" s="6"/>
      <c r="CV78" s="6"/>
      <c r="CW78" s="6"/>
      <c r="CX78" s="6"/>
      <c r="CY78" s="6"/>
      <c r="CZ78" s="6"/>
      <c r="DA78" s="343"/>
      <c r="DH78" s="238"/>
    </row>
    <row r="79" spans="1:112" ht="20" customHeight="1" x14ac:dyDescent="0.35">
      <c r="A79" s="301"/>
      <c r="B79" s="132" t="s">
        <v>1946</v>
      </c>
      <c r="C79" s="132" t="s">
        <v>1944</v>
      </c>
      <c r="D79" s="270" t="s">
        <v>34</v>
      </c>
      <c r="E79" s="270" t="s">
        <v>54</v>
      </c>
      <c r="F79" s="270" t="s">
        <v>1947</v>
      </c>
      <c r="G79" s="132" t="s">
        <v>225</v>
      </c>
      <c r="H79" s="355">
        <v>8.5399999999999991</v>
      </c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94"/>
      <c r="W79" s="286"/>
      <c r="X79" s="286"/>
      <c r="Y79" s="286"/>
      <c r="Z79" s="286"/>
      <c r="AA79" s="286"/>
      <c r="AB79" s="286"/>
      <c r="AC79" s="286"/>
      <c r="AD79" s="300"/>
      <c r="AE79" s="286"/>
      <c r="AF79" s="286"/>
      <c r="AG79" s="286"/>
      <c r="AH79" s="286"/>
      <c r="AI79" s="286"/>
      <c r="AJ79" s="286"/>
      <c r="AK79" s="287"/>
      <c r="AL79" s="288"/>
      <c r="AM79" s="287"/>
      <c r="AN79" s="287"/>
      <c r="AO79" s="287"/>
      <c r="AP79" s="286"/>
      <c r="AQ79" s="29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7"/>
      <c r="BE79" s="287"/>
      <c r="BF79" s="287"/>
      <c r="BG79" s="288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6"/>
      <c r="BY79" s="289"/>
      <c r="BZ79" s="289"/>
      <c r="CA79" s="289"/>
      <c r="CB79" s="289"/>
      <c r="CC79" s="289"/>
      <c r="CD79" s="289"/>
      <c r="CE79" s="289"/>
      <c r="CF79" s="289"/>
      <c r="CG79" s="287"/>
      <c r="CH79" s="287"/>
      <c r="CI79" s="287"/>
      <c r="CJ79" s="287"/>
      <c r="CK79" s="287"/>
      <c r="CL79" s="287">
        <v>32</v>
      </c>
      <c r="CM79" s="287"/>
      <c r="CN79" s="287"/>
      <c r="CO79" s="287"/>
      <c r="CP79" s="287"/>
      <c r="CQ79" s="287"/>
      <c r="CR79" s="287"/>
      <c r="CS79" s="6"/>
      <c r="CT79" s="6"/>
      <c r="CU79" s="6"/>
      <c r="CV79" s="6"/>
      <c r="CW79" s="6"/>
      <c r="CX79" s="6"/>
      <c r="CY79" s="6"/>
      <c r="CZ79" s="6"/>
      <c r="DA79" s="343"/>
      <c r="DH79" s="238"/>
    </row>
    <row r="80" spans="1:112" ht="20" customHeight="1" x14ac:dyDescent="0.35">
      <c r="A80" s="301" t="s">
        <v>2117</v>
      </c>
      <c r="B80" s="132" t="s">
        <v>2084</v>
      </c>
      <c r="C80" s="132" t="s">
        <v>1944</v>
      </c>
      <c r="D80" s="270" t="s">
        <v>34</v>
      </c>
      <c r="E80" s="270" t="s">
        <v>54</v>
      </c>
      <c r="F80" s="270" t="s">
        <v>2085</v>
      </c>
      <c r="G80" s="132" t="s">
        <v>38</v>
      </c>
      <c r="H80" s="355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94"/>
      <c r="W80" s="286"/>
      <c r="X80" s="286"/>
      <c r="Y80" s="286"/>
      <c r="Z80" s="286"/>
      <c r="AA80" s="286">
        <v>6.4</v>
      </c>
      <c r="AB80" s="286"/>
      <c r="AC80" s="286"/>
      <c r="AD80" s="300"/>
      <c r="AE80" s="286"/>
      <c r="AF80" s="286"/>
      <c r="AG80" s="286"/>
      <c r="AH80" s="286"/>
      <c r="AI80" s="286"/>
      <c r="AJ80" s="286"/>
      <c r="AK80" s="287"/>
      <c r="AL80" s="288"/>
      <c r="AM80" s="287"/>
      <c r="AN80" s="287"/>
      <c r="AO80" s="287"/>
      <c r="AP80" s="286"/>
      <c r="AQ80" s="29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7"/>
      <c r="BE80" s="287"/>
      <c r="BF80" s="287"/>
      <c r="BG80" s="288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6"/>
      <c r="BY80" s="289"/>
      <c r="BZ80" s="289"/>
      <c r="CA80" s="289"/>
      <c r="CB80" s="289"/>
      <c r="CC80" s="289"/>
      <c r="CD80" s="289"/>
      <c r="CE80" s="289"/>
      <c r="CF80" s="289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>
        <v>6.4</v>
      </c>
      <c r="CR80" s="287"/>
      <c r="CS80" s="6"/>
      <c r="CT80" s="6"/>
      <c r="CU80" s="6"/>
      <c r="CV80" s="6"/>
      <c r="CW80" s="6"/>
      <c r="CX80" s="6"/>
      <c r="CY80" s="6"/>
      <c r="CZ80" s="6"/>
      <c r="DA80" s="343"/>
      <c r="DH80" s="238"/>
    </row>
    <row r="81" spans="1:112" ht="20" customHeight="1" x14ac:dyDescent="0.35">
      <c r="A81" s="301"/>
      <c r="B81" s="270" t="s">
        <v>1948</v>
      </c>
      <c r="C81" s="270" t="s">
        <v>1962</v>
      </c>
      <c r="D81" s="270" t="s">
        <v>34</v>
      </c>
      <c r="E81" s="270" t="s">
        <v>54</v>
      </c>
      <c r="F81" s="273" t="s">
        <v>1965</v>
      </c>
      <c r="G81" s="270" t="s">
        <v>31</v>
      </c>
      <c r="H81" s="291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94"/>
      <c r="W81" s="286"/>
      <c r="X81" s="286"/>
      <c r="Y81" s="286"/>
      <c r="Z81" s="286"/>
      <c r="AA81" s="286"/>
      <c r="AB81" s="286"/>
      <c r="AC81" s="286"/>
      <c r="AD81" s="300"/>
      <c r="AE81" s="286"/>
      <c r="AF81" s="286"/>
      <c r="AG81" s="286"/>
      <c r="AH81" s="286"/>
      <c r="AI81" s="286"/>
      <c r="AJ81" s="286"/>
      <c r="AK81" s="287"/>
      <c r="AL81" s="288"/>
      <c r="AM81" s="287"/>
      <c r="AN81" s="287"/>
      <c r="AO81" s="287"/>
      <c r="AP81" s="286"/>
      <c r="AQ81" s="29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7"/>
      <c r="BE81" s="287"/>
      <c r="BF81" s="287"/>
      <c r="BG81" s="288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6"/>
      <c r="BY81" s="289"/>
      <c r="BZ81" s="289"/>
      <c r="CA81" s="289"/>
      <c r="CB81" s="289"/>
      <c r="CC81" s="289"/>
      <c r="CD81" s="289"/>
      <c r="CE81" s="289"/>
      <c r="CF81" s="289"/>
      <c r="CG81" s="287"/>
      <c r="CH81" s="287"/>
      <c r="CI81" s="287"/>
      <c r="CJ81" s="287"/>
      <c r="CK81" s="287">
        <v>4.8</v>
      </c>
      <c r="CL81" s="287"/>
      <c r="CM81" s="287"/>
      <c r="CN81" s="287"/>
      <c r="CO81" s="287"/>
      <c r="CP81" s="287"/>
      <c r="CQ81" s="287"/>
      <c r="CR81" s="287"/>
      <c r="CS81" s="6"/>
      <c r="CT81" s="6"/>
      <c r="CU81" s="6"/>
      <c r="CV81" s="6"/>
      <c r="CW81" s="6"/>
      <c r="CX81" s="6"/>
      <c r="CY81" s="6"/>
      <c r="CZ81" s="6"/>
      <c r="DA81" s="343"/>
      <c r="DH81" s="238"/>
    </row>
    <row r="82" spans="1:112" ht="20" customHeight="1" x14ac:dyDescent="0.35">
      <c r="A82" s="301" t="s">
        <v>2118</v>
      </c>
      <c r="B82" s="270" t="s">
        <v>2077</v>
      </c>
      <c r="C82" s="270" t="s">
        <v>2082</v>
      </c>
      <c r="D82" s="270" t="s">
        <v>535</v>
      </c>
      <c r="E82" s="270" t="s">
        <v>34</v>
      </c>
      <c r="F82" s="270" t="s">
        <v>2085</v>
      </c>
      <c r="G82" s="270" t="s">
        <v>38</v>
      </c>
      <c r="H82" s="291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94"/>
      <c r="W82" s="286"/>
      <c r="X82" s="286"/>
      <c r="Y82" s="286"/>
      <c r="Z82" s="286"/>
      <c r="AA82" s="286"/>
      <c r="AB82" s="286"/>
      <c r="AC82" s="286"/>
      <c r="AD82" s="300"/>
      <c r="AE82" s="286"/>
      <c r="AF82" s="286"/>
      <c r="AG82" s="286"/>
      <c r="AH82" s="286"/>
      <c r="AI82" s="286"/>
      <c r="AJ82" s="286"/>
      <c r="AK82" s="287"/>
      <c r="AL82" s="288"/>
      <c r="AM82" s="287"/>
      <c r="AN82" s="287"/>
      <c r="AO82" s="287"/>
      <c r="AP82" s="286"/>
      <c r="AQ82" s="29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7"/>
      <c r="BE82" s="287"/>
      <c r="BF82" s="287"/>
      <c r="BG82" s="288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6"/>
      <c r="BY82" s="289"/>
      <c r="BZ82" s="289"/>
      <c r="CA82" s="289"/>
      <c r="CB82" s="289"/>
      <c r="CC82" s="289"/>
      <c r="CD82" s="289"/>
      <c r="CE82" s="289"/>
      <c r="CF82" s="289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/>
      <c r="CQ82" s="287">
        <v>4.5999999999999996</v>
      </c>
      <c r="CR82" s="287"/>
      <c r="CS82" s="6"/>
      <c r="CT82" s="6"/>
      <c r="CU82" s="6"/>
      <c r="CV82" s="6"/>
      <c r="CW82" s="6"/>
      <c r="CX82" s="6"/>
      <c r="CY82" s="6"/>
      <c r="CZ82" s="6"/>
      <c r="DA82" s="343"/>
      <c r="DH82" s="238"/>
    </row>
    <row r="83" spans="1:112" ht="20" customHeight="1" x14ac:dyDescent="0.35">
      <c r="A83" s="301"/>
      <c r="B83" s="270" t="s">
        <v>2089</v>
      </c>
      <c r="C83" s="270" t="s">
        <v>2090</v>
      </c>
      <c r="D83" s="297" t="s">
        <v>535</v>
      </c>
      <c r="E83" s="270" t="s">
        <v>54</v>
      </c>
      <c r="F83" s="270" t="s">
        <v>2088</v>
      </c>
      <c r="G83" s="270" t="s">
        <v>1994</v>
      </c>
      <c r="H83" s="291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94"/>
      <c r="W83" s="286"/>
      <c r="X83" s="286"/>
      <c r="Y83" s="286"/>
      <c r="Z83" s="286"/>
      <c r="AA83" s="286"/>
      <c r="AB83" s="286"/>
      <c r="AC83" s="286"/>
      <c r="AD83" s="300"/>
      <c r="AE83" s="286"/>
      <c r="AF83" s="286"/>
      <c r="AG83" s="286"/>
      <c r="AH83" s="286"/>
      <c r="AI83" s="286"/>
      <c r="AJ83" s="286"/>
      <c r="AK83" s="287"/>
      <c r="AL83" s="288"/>
      <c r="AM83" s="287"/>
      <c r="AN83" s="287"/>
      <c r="AO83" s="287"/>
      <c r="AP83" s="286"/>
      <c r="AQ83" s="29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7"/>
      <c r="BE83" s="287"/>
      <c r="BF83" s="287"/>
      <c r="BG83" s="288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6"/>
      <c r="BY83" s="289"/>
      <c r="BZ83" s="289"/>
      <c r="CA83" s="289"/>
      <c r="CB83" s="289"/>
      <c r="CC83" s="289"/>
      <c r="CD83" s="289"/>
      <c r="CE83" s="289"/>
      <c r="CF83" s="289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>
        <v>1.2</v>
      </c>
      <c r="CQ83" s="287"/>
      <c r="CR83" s="287"/>
      <c r="CS83" s="6"/>
      <c r="CT83" s="6"/>
      <c r="CU83" s="6"/>
      <c r="CV83" s="6"/>
      <c r="CW83" s="6"/>
      <c r="CX83" s="6"/>
      <c r="CY83" s="6"/>
      <c r="CZ83" s="6"/>
      <c r="DA83" s="343"/>
      <c r="DH83" s="238"/>
    </row>
    <row r="84" spans="1:112" ht="20" customHeight="1" x14ac:dyDescent="0.35">
      <c r="A84" s="301"/>
      <c r="B84" s="270" t="s">
        <v>2303</v>
      </c>
      <c r="C84" s="270" t="s">
        <v>2090</v>
      </c>
      <c r="D84" s="297" t="s">
        <v>535</v>
      </c>
      <c r="E84" s="270" t="s">
        <v>54</v>
      </c>
      <c r="F84" s="270" t="s">
        <v>2305</v>
      </c>
      <c r="G84" s="270" t="s">
        <v>1994</v>
      </c>
      <c r="H84" s="291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94"/>
      <c r="W84" s="286"/>
      <c r="X84" s="286"/>
      <c r="Y84" s="286"/>
      <c r="Z84" s="286"/>
      <c r="AA84" s="286">
        <v>1.5</v>
      </c>
      <c r="AB84" s="286"/>
      <c r="AC84" s="286"/>
      <c r="AD84" s="300"/>
      <c r="AE84" s="286"/>
      <c r="AF84" s="286"/>
      <c r="AG84" s="286"/>
      <c r="AH84" s="286"/>
      <c r="AI84" s="286"/>
      <c r="AJ84" s="286"/>
      <c r="AK84" s="287"/>
      <c r="AL84" s="288"/>
      <c r="AM84" s="287"/>
      <c r="AN84" s="287"/>
      <c r="AO84" s="287"/>
      <c r="AP84" s="286"/>
      <c r="AQ84" s="29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7"/>
      <c r="BE84" s="287"/>
      <c r="BF84" s="287"/>
      <c r="BG84" s="288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6"/>
      <c r="BY84" s="289"/>
      <c r="BZ84" s="289"/>
      <c r="CA84" s="289"/>
      <c r="CB84" s="289"/>
      <c r="CC84" s="289"/>
      <c r="CD84" s="289"/>
      <c r="CE84" s="289"/>
      <c r="CF84" s="289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>
        <v>1.2</v>
      </c>
      <c r="CQ84" s="287"/>
      <c r="CR84" s="287"/>
      <c r="CS84" s="6"/>
      <c r="CT84" s="6"/>
      <c r="CU84" s="6"/>
      <c r="CV84" s="6"/>
      <c r="CW84" s="6"/>
      <c r="CX84" s="6"/>
      <c r="CY84" s="6"/>
      <c r="CZ84" s="6"/>
      <c r="DA84" s="343"/>
      <c r="DH84" s="238"/>
    </row>
    <row r="85" spans="1:112" ht="20" customHeight="1" x14ac:dyDescent="0.35">
      <c r="A85" s="301"/>
      <c r="B85" s="270" t="s">
        <v>2307</v>
      </c>
      <c r="C85" s="270" t="s">
        <v>2304</v>
      </c>
      <c r="D85" s="297" t="s">
        <v>535</v>
      </c>
      <c r="E85" s="270" t="s">
        <v>54</v>
      </c>
      <c r="F85" s="270" t="s">
        <v>2305</v>
      </c>
      <c r="G85" s="270" t="s">
        <v>1994</v>
      </c>
      <c r="H85" s="291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94"/>
      <c r="W85" s="286"/>
      <c r="X85" s="286"/>
      <c r="Y85" s="286"/>
      <c r="Z85" s="286"/>
      <c r="AA85" s="286">
        <v>2.5</v>
      </c>
      <c r="AB85" s="286"/>
      <c r="AC85" s="286"/>
      <c r="AD85" s="300"/>
      <c r="AE85" s="286"/>
      <c r="AF85" s="286"/>
      <c r="AG85" s="286"/>
      <c r="AH85" s="286"/>
      <c r="AI85" s="286"/>
      <c r="AJ85" s="286"/>
      <c r="AK85" s="287"/>
      <c r="AL85" s="288"/>
      <c r="AM85" s="287"/>
      <c r="AN85" s="287"/>
      <c r="AO85" s="287"/>
      <c r="AP85" s="286"/>
      <c r="AQ85" s="29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7"/>
      <c r="BE85" s="287"/>
      <c r="BF85" s="287"/>
      <c r="BG85" s="288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6"/>
      <c r="BY85" s="289"/>
      <c r="BZ85" s="289"/>
      <c r="CA85" s="289"/>
      <c r="CB85" s="289"/>
      <c r="CC85" s="289"/>
      <c r="CD85" s="289"/>
      <c r="CE85" s="289"/>
      <c r="CF85" s="289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>
        <v>1.2</v>
      </c>
      <c r="CQ85" s="287"/>
      <c r="CR85" s="287"/>
      <c r="CS85" s="6"/>
      <c r="CT85" s="6"/>
      <c r="CU85" s="6"/>
      <c r="CV85" s="6"/>
      <c r="CW85" s="6"/>
      <c r="CX85" s="6"/>
      <c r="CY85" s="6"/>
      <c r="CZ85" s="6"/>
      <c r="DA85" s="343"/>
      <c r="DH85" s="238"/>
    </row>
    <row r="86" spans="1:112" ht="20" customHeight="1" x14ac:dyDescent="0.35">
      <c r="A86" s="290"/>
      <c r="B86" s="270" t="s">
        <v>755</v>
      </c>
      <c r="C86" s="270" t="s">
        <v>201</v>
      </c>
      <c r="D86" s="297" t="s">
        <v>646</v>
      </c>
      <c r="E86" s="270" t="s">
        <v>34</v>
      </c>
      <c r="F86" s="270" t="s">
        <v>1828</v>
      </c>
      <c r="G86" s="270" t="s">
        <v>36</v>
      </c>
      <c r="H86" s="298">
        <v>44</v>
      </c>
      <c r="I86" s="292">
        <v>0</v>
      </c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>
        <v>52</v>
      </c>
      <c r="AD86" s="286"/>
      <c r="AE86" s="286"/>
      <c r="AF86" s="286"/>
      <c r="AG86" s="286"/>
      <c r="AH86" s="286"/>
      <c r="AI86" s="286"/>
      <c r="AJ86" s="286"/>
      <c r="AK86" s="287"/>
      <c r="AL86" s="288"/>
      <c r="AM86" s="287"/>
      <c r="AN86" s="287"/>
      <c r="AO86" s="287"/>
      <c r="AP86" s="286"/>
      <c r="AQ86" s="29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6"/>
      <c r="BY86" s="289"/>
      <c r="BZ86" s="289"/>
      <c r="CA86" s="289"/>
      <c r="CB86" s="289"/>
      <c r="CC86" s="289"/>
      <c r="CD86" s="289"/>
      <c r="CE86" s="289"/>
      <c r="CF86" s="289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6"/>
      <c r="CT86" s="6"/>
      <c r="CU86" s="6"/>
      <c r="CV86" s="6"/>
      <c r="CW86" s="6"/>
      <c r="CX86" s="6"/>
      <c r="CY86" s="6"/>
      <c r="CZ86" s="6"/>
      <c r="DA86" s="343">
        <f t="shared" si="5"/>
        <v>44</v>
      </c>
      <c r="DH86" s="238">
        <v>19</v>
      </c>
    </row>
    <row r="87" spans="1:112" ht="20" customHeight="1" x14ac:dyDescent="0.35">
      <c r="A87" s="301" t="s">
        <v>2001</v>
      </c>
      <c r="B87" s="270" t="s">
        <v>756</v>
      </c>
      <c r="C87" s="270" t="s">
        <v>1531</v>
      </c>
      <c r="D87" s="297" t="s">
        <v>646</v>
      </c>
      <c r="E87" s="270" t="s">
        <v>1230</v>
      </c>
      <c r="F87" s="270" t="s">
        <v>1834</v>
      </c>
      <c r="G87" s="270" t="s">
        <v>91</v>
      </c>
      <c r="H87" s="298">
        <v>11</v>
      </c>
      <c r="I87" s="286">
        <v>16</v>
      </c>
      <c r="J87" s="292">
        <v>15</v>
      </c>
      <c r="K87" s="286"/>
      <c r="L87" s="286"/>
      <c r="M87" s="286"/>
      <c r="N87" s="286"/>
      <c r="O87" s="286"/>
      <c r="P87" s="286"/>
      <c r="Q87" s="286"/>
      <c r="R87" s="286">
        <v>15</v>
      </c>
      <c r="S87" s="286"/>
      <c r="T87" s="286">
        <v>15</v>
      </c>
      <c r="U87" s="286"/>
      <c r="V87" s="294"/>
      <c r="W87" s="286"/>
      <c r="X87" s="286"/>
      <c r="Y87" s="286"/>
      <c r="Z87" s="286"/>
      <c r="AA87" s="286"/>
      <c r="AB87" s="286"/>
      <c r="AC87" s="286"/>
      <c r="AD87" s="286"/>
      <c r="AE87" s="286"/>
      <c r="AF87" s="286">
        <v>14</v>
      </c>
      <c r="AG87" s="286"/>
      <c r="AH87" s="286"/>
      <c r="AI87" s="286"/>
      <c r="AJ87" s="286"/>
      <c r="AK87" s="287"/>
      <c r="AL87" s="288"/>
      <c r="AM87" s="287"/>
      <c r="AN87" s="287"/>
      <c r="AO87" s="287"/>
      <c r="AP87" s="286"/>
      <c r="AQ87" s="29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7"/>
      <c r="BE87" s="287"/>
      <c r="BF87" s="287"/>
      <c r="BG87" s="288">
        <v>14</v>
      </c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>
        <v>15</v>
      </c>
      <c r="BT87" s="287"/>
      <c r="BU87" s="287"/>
      <c r="BV87" s="287"/>
      <c r="BW87" s="287"/>
      <c r="BX87" s="286"/>
      <c r="BY87" s="289">
        <v>15</v>
      </c>
      <c r="BZ87" s="289"/>
      <c r="CA87" s="289"/>
      <c r="CB87" s="289"/>
      <c r="CC87" s="289"/>
      <c r="CD87" s="289"/>
      <c r="CE87" s="289"/>
      <c r="CF87" s="289"/>
      <c r="CG87" s="287"/>
      <c r="CH87" s="287"/>
      <c r="CI87" s="287">
        <v>15</v>
      </c>
      <c r="CJ87" s="287"/>
      <c r="CK87" s="287"/>
      <c r="CL87" s="287">
        <v>16</v>
      </c>
      <c r="CM87" s="287"/>
      <c r="CN87" s="287"/>
      <c r="CO87" s="287"/>
      <c r="CP87" s="287"/>
      <c r="CQ87" s="287">
        <v>16</v>
      </c>
      <c r="CR87" s="287"/>
      <c r="CS87" s="288">
        <f>I87</f>
        <v>16</v>
      </c>
      <c r="CT87" s="6"/>
      <c r="CU87" s="6"/>
      <c r="CV87" s="6"/>
      <c r="CW87" s="6"/>
      <c r="CX87" s="6"/>
      <c r="CY87" s="6"/>
      <c r="CZ87" s="6"/>
      <c r="DA87" s="343">
        <f t="shared" si="5"/>
        <v>11</v>
      </c>
      <c r="DH87" s="238">
        <v>10</v>
      </c>
    </row>
    <row r="88" spans="1:112" ht="20" customHeight="1" x14ac:dyDescent="0.35">
      <c r="A88" s="290" t="s">
        <v>2003</v>
      </c>
      <c r="B88" s="270" t="s">
        <v>757</v>
      </c>
      <c r="C88" s="270" t="s">
        <v>2004</v>
      </c>
      <c r="D88" s="297" t="s">
        <v>627</v>
      </c>
      <c r="E88" s="270" t="s">
        <v>1144</v>
      </c>
      <c r="F88" s="270" t="s">
        <v>1833</v>
      </c>
      <c r="G88" s="270" t="s">
        <v>39</v>
      </c>
      <c r="H88" s="298">
        <f>5.5</f>
        <v>5.5</v>
      </c>
      <c r="I88" s="292">
        <v>6.8</v>
      </c>
      <c r="J88" s="292">
        <v>6</v>
      </c>
      <c r="K88" s="286"/>
      <c r="L88" s="286">
        <v>6.5</v>
      </c>
      <c r="M88" s="400"/>
      <c r="N88" s="292">
        <v>6</v>
      </c>
      <c r="O88" s="286">
        <v>6.5</v>
      </c>
      <c r="P88" s="292">
        <v>6.5</v>
      </c>
      <c r="Q88" s="286">
        <v>6.5</v>
      </c>
      <c r="R88" s="286">
        <v>6</v>
      </c>
      <c r="S88" s="286">
        <v>7</v>
      </c>
      <c r="T88" s="286">
        <v>6</v>
      </c>
      <c r="U88" s="286"/>
      <c r="V88" s="294"/>
      <c r="W88" s="286"/>
      <c r="X88" s="286"/>
      <c r="Y88" s="286"/>
      <c r="Z88" s="286"/>
      <c r="AA88" s="286"/>
      <c r="AB88" s="286">
        <v>6.5</v>
      </c>
      <c r="AC88" s="286">
        <v>6</v>
      </c>
      <c r="AD88" s="286"/>
      <c r="AE88" s="286"/>
      <c r="AF88" s="286"/>
      <c r="AG88" s="286"/>
      <c r="AH88" s="286"/>
      <c r="AI88" s="286">
        <v>6</v>
      </c>
      <c r="AJ88" s="286"/>
      <c r="AK88" s="287"/>
      <c r="AL88" s="288">
        <v>6</v>
      </c>
      <c r="AM88" s="287">
        <v>6.5</v>
      </c>
      <c r="AN88" s="287"/>
      <c r="AO88" s="286">
        <v>6</v>
      </c>
      <c r="AP88" s="286">
        <v>6</v>
      </c>
      <c r="AQ88" s="296"/>
      <c r="AR88" s="286">
        <v>6</v>
      </c>
      <c r="AS88" s="286"/>
      <c r="AT88" s="286">
        <v>6</v>
      </c>
      <c r="AU88" s="286">
        <v>6</v>
      </c>
      <c r="AV88" s="286">
        <v>6</v>
      </c>
      <c r="AW88" s="286">
        <v>6</v>
      </c>
      <c r="AX88" s="286">
        <v>6</v>
      </c>
      <c r="AY88" s="286">
        <v>6</v>
      </c>
      <c r="AZ88" s="286">
        <v>6</v>
      </c>
      <c r="BA88" s="286">
        <v>6</v>
      </c>
      <c r="BB88" s="286">
        <f>BA88</f>
        <v>6</v>
      </c>
      <c r="BC88" s="286">
        <v>6</v>
      </c>
      <c r="BD88" s="287"/>
      <c r="BE88" s="287"/>
      <c r="BF88" s="287"/>
      <c r="BG88" s="288">
        <v>7.5</v>
      </c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6">
        <f>J88</f>
        <v>6</v>
      </c>
      <c r="BY88" s="289"/>
      <c r="BZ88" s="289"/>
      <c r="CA88" s="289"/>
      <c r="CB88" s="289"/>
      <c r="CC88" s="289"/>
      <c r="CD88" s="289"/>
      <c r="CE88" s="289"/>
      <c r="CF88" s="289">
        <v>6.5</v>
      </c>
      <c r="CG88" s="287"/>
      <c r="CH88" s="287"/>
      <c r="CI88" s="287"/>
      <c r="CJ88" s="287"/>
      <c r="CK88" s="287"/>
      <c r="CL88" s="287"/>
      <c r="CM88" s="292">
        <v>6</v>
      </c>
      <c r="CN88" s="287"/>
      <c r="CO88" s="292">
        <v>6</v>
      </c>
      <c r="CP88" s="287"/>
      <c r="CQ88" s="287">
        <v>6.8</v>
      </c>
      <c r="CR88" s="287"/>
      <c r="CS88" s="288">
        <f>I88</f>
        <v>6.8</v>
      </c>
      <c r="CT88" s="6"/>
      <c r="CU88" s="6"/>
      <c r="CV88" s="6"/>
      <c r="CW88" s="6"/>
      <c r="CX88" s="6"/>
      <c r="CY88" s="6"/>
      <c r="CZ88" s="6"/>
      <c r="DA88" s="343">
        <f t="shared" si="5"/>
        <v>5.5</v>
      </c>
      <c r="DH88" s="238">
        <v>10.5</v>
      </c>
    </row>
    <row r="89" spans="1:112" ht="20" customHeight="1" x14ac:dyDescent="0.35">
      <c r="A89" s="290" t="s">
        <v>1217</v>
      </c>
      <c r="B89" s="270" t="s">
        <v>757</v>
      </c>
      <c r="C89" s="270" t="s">
        <v>1590</v>
      </c>
      <c r="D89" s="297" t="s">
        <v>627</v>
      </c>
      <c r="E89" s="270" t="s">
        <v>1144</v>
      </c>
      <c r="F89" s="270" t="s">
        <v>1833</v>
      </c>
      <c r="G89" s="270" t="s">
        <v>39</v>
      </c>
      <c r="H89" s="298">
        <f>5.5</f>
        <v>5.5</v>
      </c>
      <c r="I89" s="292"/>
      <c r="J89" s="292"/>
      <c r="K89" s="286"/>
      <c r="L89" s="286"/>
      <c r="M89" s="286"/>
      <c r="N89" s="292"/>
      <c r="O89" s="286"/>
      <c r="P89" s="292"/>
      <c r="Q89" s="286"/>
      <c r="R89" s="286"/>
      <c r="S89" s="286"/>
      <c r="T89" s="286"/>
      <c r="U89" s="286"/>
      <c r="V89" s="294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7"/>
      <c r="AL89" s="288"/>
      <c r="AM89" s="287"/>
      <c r="AN89" s="287"/>
      <c r="AO89" s="286"/>
      <c r="AP89" s="286"/>
      <c r="AQ89" s="29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7"/>
      <c r="BE89" s="287"/>
      <c r="BF89" s="287"/>
      <c r="BG89" s="288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6"/>
      <c r="BY89" s="289"/>
      <c r="BZ89" s="289"/>
      <c r="CA89" s="289"/>
      <c r="CB89" s="289"/>
      <c r="CC89" s="289"/>
      <c r="CD89" s="289"/>
      <c r="CE89" s="289"/>
      <c r="CF89" s="289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8"/>
      <c r="CT89" s="6"/>
      <c r="CU89" s="6"/>
      <c r="CV89" s="6"/>
      <c r="CW89" s="6"/>
      <c r="CX89" s="6"/>
      <c r="CY89" s="6"/>
      <c r="CZ89" s="6"/>
      <c r="DA89" s="343"/>
      <c r="DH89" s="238"/>
    </row>
    <row r="90" spans="1:112" ht="20" customHeight="1" x14ac:dyDescent="0.35">
      <c r="A90" s="290" t="s">
        <v>1216</v>
      </c>
      <c r="B90" s="270" t="s">
        <v>758</v>
      </c>
      <c r="C90" s="270" t="s">
        <v>228</v>
      </c>
      <c r="D90" s="297" t="s">
        <v>627</v>
      </c>
      <c r="E90" s="270" t="s">
        <v>1144</v>
      </c>
      <c r="F90" s="270" t="s">
        <v>1833</v>
      </c>
      <c r="G90" s="270" t="s">
        <v>39</v>
      </c>
      <c r="H90" s="298">
        <v>4</v>
      </c>
      <c r="I90" s="292">
        <v>6</v>
      </c>
      <c r="J90" s="286">
        <v>0</v>
      </c>
      <c r="K90" s="286"/>
      <c r="L90" s="286"/>
      <c r="M90" s="286"/>
      <c r="N90" s="286"/>
      <c r="O90" s="286">
        <v>6</v>
      </c>
      <c r="P90" s="292">
        <v>6</v>
      </c>
      <c r="Q90" s="286">
        <v>6</v>
      </c>
      <c r="R90" s="286">
        <v>6</v>
      </c>
      <c r="S90" s="286"/>
      <c r="T90" s="286">
        <v>0</v>
      </c>
      <c r="U90" s="286"/>
      <c r="V90" s="294"/>
      <c r="W90" s="286"/>
      <c r="X90" s="286"/>
      <c r="Y90" s="286"/>
      <c r="Z90" s="286"/>
      <c r="AA90" s="286"/>
      <c r="AB90" s="286"/>
      <c r="AC90" s="286">
        <v>6</v>
      </c>
      <c r="AD90" s="286"/>
      <c r="AE90" s="286"/>
      <c r="AF90" s="286"/>
      <c r="AG90" s="286"/>
      <c r="AH90" s="286"/>
      <c r="AI90" s="286"/>
      <c r="AJ90" s="286"/>
      <c r="AK90" s="287"/>
      <c r="AL90" s="288"/>
      <c r="AM90" s="287"/>
      <c r="AN90" s="287"/>
      <c r="AO90" s="287"/>
      <c r="AP90" s="286">
        <v>0</v>
      </c>
      <c r="AQ90" s="296"/>
      <c r="AR90" s="286">
        <v>0</v>
      </c>
      <c r="AS90" s="286"/>
      <c r="AT90" s="286">
        <v>0</v>
      </c>
      <c r="AU90" s="286">
        <v>0</v>
      </c>
      <c r="AV90" s="286">
        <v>0</v>
      </c>
      <c r="AW90" s="286">
        <v>0</v>
      </c>
      <c r="AX90" s="286">
        <v>0</v>
      </c>
      <c r="AY90" s="286">
        <v>0</v>
      </c>
      <c r="AZ90" s="286">
        <v>0</v>
      </c>
      <c r="BA90" s="286">
        <v>0</v>
      </c>
      <c r="BB90" s="286"/>
      <c r="BC90" s="286">
        <v>0</v>
      </c>
      <c r="BD90" s="287"/>
      <c r="BE90" s="287"/>
      <c r="BF90" s="287"/>
      <c r="BG90" s="288">
        <v>8</v>
      </c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6"/>
      <c r="BY90" s="289"/>
      <c r="BZ90" s="289"/>
      <c r="CA90" s="289"/>
      <c r="CB90" s="289"/>
      <c r="CC90" s="289"/>
      <c r="CD90" s="289"/>
      <c r="CE90" s="289"/>
      <c r="CF90" s="289">
        <v>6</v>
      </c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>
        <v>6</v>
      </c>
      <c r="CR90" s="287"/>
      <c r="CS90" s="288">
        <f>I90</f>
        <v>6</v>
      </c>
      <c r="CT90" s="6"/>
      <c r="CU90" s="6"/>
      <c r="CV90" s="6"/>
      <c r="CW90" s="6"/>
      <c r="CX90" s="6"/>
      <c r="CY90" s="6"/>
      <c r="CZ90" s="6"/>
      <c r="DA90" s="343">
        <f t="shared" si="5"/>
        <v>4</v>
      </c>
      <c r="DH90" s="238">
        <v>10.5</v>
      </c>
    </row>
    <row r="91" spans="1:112" ht="20" customHeight="1" x14ac:dyDescent="0.35">
      <c r="A91" s="290"/>
      <c r="B91" s="270" t="s">
        <v>759</v>
      </c>
      <c r="C91" s="270" t="s">
        <v>1609</v>
      </c>
      <c r="D91" s="270" t="s">
        <v>535</v>
      </c>
      <c r="E91" s="270" t="s">
        <v>34</v>
      </c>
      <c r="F91" s="270" t="s">
        <v>1833</v>
      </c>
      <c r="G91" s="270" t="s">
        <v>39</v>
      </c>
      <c r="H91" s="298">
        <v>6</v>
      </c>
      <c r="I91" s="286">
        <v>0</v>
      </c>
      <c r="J91" s="286"/>
      <c r="K91" s="286"/>
      <c r="L91" s="286"/>
      <c r="M91" s="286"/>
      <c r="N91" s="286"/>
      <c r="O91" s="286"/>
      <c r="P91" s="292">
        <v>7</v>
      </c>
      <c r="Q91" s="286"/>
      <c r="R91" s="286"/>
      <c r="S91" s="286"/>
      <c r="T91" s="286"/>
      <c r="U91" s="286"/>
      <c r="V91" s="294"/>
      <c r="W91" s="286"/>
      <c r="X91" s="286"/>
      <c r="Y91" s="286"/>
      <c r="Z91" s="286"/>
      <c r="AA91" s="286"/>
      <c r="AB91" s="286">
        <v>7.5</v>
      </c>
      <c r="AC91" s="286">
        <v>7</v>
      </c>
      <c r="AD91" s="286"/>
      <c r="AE91" s="286"/>
      <c r="AF91" s="286"/>
      <c r="AG91" s="286"/>
      <c r="AH91" s="286"/>
      <c r="AI91" s="286"/>
      <c r="AJ91" s="286"/>
      <c r="AK91" s="287"/>
      <c r="AL91" s="288"/>
      <c r="AM91" s="287"/>
      <c r="AN91" s="287"/>
      <c r="AO91" s="287"/>
      <c r="AP91" s="286"/>
      <c r="AQ91" s="296">
        <v>8.5</v>
      </c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7"/>
      <c r="BE91" s="287"/>
      <c r="BF91" s="287"/>
      <c r="BG91" s="288">
        <v>8</v>
      </c>
      <c r="BH91" s="287"/>
      <c r="BI91" s="287"/>
      <c r="BJ91" s="287">
        <v>8</v>
      </c>
      <c r="BK91" s="299">
        <v>10</v>
      </c>
      <c r="BL91" s="287"/>
      <c r="BM91" s="287"/>
      <c r="BN91" s="287"/>
      <c r="BO91" s="287"/>
      <c r="BP91" s="287"/>
      <c r="BQ91" s="287"/>
      <c r="BR91" s="287"/>
      <c r="BS91" s="287">
        <v>8</v>
      </c>
      <c r="BT91" s="287"/>
      <c r="BU91" s="287">
        <v>8</v>
      </c>
      <c r="BV91" s="287"/>
      <c r="BW91" s="287"/>
      <c r="BX91" s="286"/>
      <c r="BY91" s="289"/>
      <c r="BZ91" s="289"/>
      <c r="CA91" s="289"/>
      <c r="CB91" s="289"/>
      <c r="CC91" s="289"/>
      <c r="CD91" s="289"/>
      <c r="CE91" s="289"/>
      <c r="CF91" s="289"/>
      <c r="CG91" s="287"/>
      <c r="CH91" s="287"/>
      <c r="CI91" s="287"/>
      <c r="CJ91" s="287"/>
      <c r="CK91" s="287"/>
      <c r="CL91" s="287">
        <v>8</v>
      </c>
      <c r="CM91" s="287"/>
      <c r="CN91" s="287"/>
      <c r="CO91" s="287"/>
      <c r="CP91" s="287"/>
      <c r="CQ91" s="287"/>
      <c r="CR91" s="287"/>
      <c r="CS91" s="6"/>
      <c r="CT91" s="6"/>
      <c r="CU91" s="6"/>
      <c r="CV91" s="6"/>
      <c r="CW91" s="6"/>
      <c r="CX91" s="6"/>
      <c r="CY91" s="6"/>
      <c r="CZ91" s="6"/>
      <c r="DA91" s="343">
        <f t="shared" si="5"/>
        <v>6</v>
      </c>
      <c r="DH91" s="238">
        <v>24</v>
      </c>
    </row>
    <row r="92" spans="1:112" ht="20" customHeight="1" x14ac:dyDescent="0.35">
      <c r="A92" s="290" t="s">
        <v>1215</v>
      </c>
      <c r="B92" s="270" t="s">
        <v>760</v>
      </c>
      <c r="C92" s="270" t="s">
        <v>1610</v>
      </c>
      <c r="D92" s="270" t="s">
        <v>535</v>
      </c>
      <c r="E92" s="270" t="s">
        <v>1221</v>
      </c>
      <c r="F92" s="270" t="s">
        <v>1833</v>
      </c>
      <c r="G92" s="270" t="s">
        <v>39</v>
      </c>
      <c r="H92" s="298">
        <v>5</v>
      </c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94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7"/>
      <c r="AL92" s="288"/>
      <c r="AM92" s="287"/>
      <c r="AN92" s="287"/>
      <c r="AO92" s="287"/>
      <c r="AP92" s="286"/>
      <c r="AQ92" s="29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7"/>
      <c r="BE92" s="287"/>
      <c r="BF92" s="287"/>
      <c r="BG92" s="288">
        <v>8</v>
      </c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>
        <v>8</v>
      </c>
      <c r="BU92" s="287">
        <v>8</v>
      </c>
      <c r="BV92" s="287"/>
      <c r="BW92" s="287"/>
      <c r="BX92" s="286"/>
      <c r="BY92" s="289"/>
      <c r="BZ92" s="289"/>
      <c r="CA92" s="289"/>
      <c r="CB92" s="289"/>
      <c r="CC92" s="289"/>
      <c r="CD92" s="289"/>
      <c r="CE92" s="289"/>
      <c r="CF92" s="289">
        <v>7</v>
      </c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6"/>
      <c r="CT92" s="6"/>
      <c r="CU92" s="6"/>
      <c r="CV92" s="6"/>
      <c r="CW92" s="6"/>
      <c r="CX92" s="6"/>
      <c r="CY92" s="6"/>
      <c r="CZ92" s="6"/>
      <c r="DA92" s="343">
        <f t="shared" si="5"/>
        <v>5</v>
      </c>
      <c r="DH92" s="238">
        <v>23</v>
      </c>
    </row>
    <row r="93" spans="1:112" ht="20" customHeight="1" x14ac:dyDescent="0.35">
      <c r="A93" s="290" t="s">
        <v>2002</v>
      </c>
      <c r="B93" s="270" t="s">
        <v>761</v>
      </c>
      <c r="C93" s="270" t="s">
        <v>1611</v>
      </c>
      <c r="D93" s="297" t="s">
        <v>646</v>
      </c>
      <c r="E93" s="270" t="s">
        <v>34</v>
      </c>
      <c r="F93" s="270" t="s">
        <v>1832</v>
      </c>
      <c r="G93" s="270" t="s">
        <v>225</v>
      </c>
      <c r="H93" s="298">
        <f>13.95*1.08</f>
        <v>15.066000000000001</v>
      </c>
      <c r="I93" s="292">
        <v>19</v>
      </c>
      <c r="J93" s="292">
        <v>17.8</v>
      </c>
      <c r="K93" s="286"/>
      <c r="L93" s="286"/>
      <c r="M93" s="286"/>
      <c r="N93" s="286"/>
      <c r="O93" s="286"/>
      <c r="P93" s="286"/>
      <c r="Q93" s="286"/>
      <c r="R93" s="286"/>
      <c r="S93" s="286"/>
      <c r="T93" s="300">
        <v>23</v>
      </c>
      <c r="U93" s="286"/>
      <c r="V93" s="294"/>
      <c r="W93" s="286"/>
      <c r="X93" s="286"/>
      <c r="Y93" s="286"/>
      <c r="Z93" s="286">
        <v>21</v>
      </c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7"/>
      <c r="AL93" s="288"/>
      <c r="AM93" s="287"/>
      <c r="AN93" s="287"/>
      <c r="AO93" s="287"/>
      <c r="AP93" s="286"/>
      <c r="AQ93" s="29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7"/>
      <c r="BE93" s="287"/>
      <c r="BF93" s="287"/>
      <c r="BG93" s="288">
        <v>20</v>
      </c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>
        <v>21</v>
      </c>
      <c r="BV93" s="287"/>
      <c r="BW93" s="287"/>
      <c r="BX93" s="286"/>
      <c r="BY93" s="289"/>
      <c r="BZ93" s="289"/>
      <c r="CA93" s="289"/>
      <c r="CB93" s="289"/>
      <c r="CC93" s="289"/>
      <c r="CD93" s="289"/>
      <c r="CE93" s="289"/>
      <c r="CF93" s="289"/>
      <c r="CG93" s="305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>
        <v>19</v>
      </c>
      <c r="CR93" s="287"/>
      <c r="CS93" s="6"/>
      <c r="CT93" s="6"/>
      <c r="CU93" s="6"/>
      <c r="CV93" s="6"/>
      <c r="CW93" s="6"/>
      <c r="CX93" s="6"/>
      <c r="CY93" s="6"/>
      <c r="CZ93" s="6"/>
      <c r="DA93" s="343">
        <f t="shared" si="5"/>
        <v>15.066000000000001</v>
      </c>
      <c r="DH93" s="238">
        <v>25</v>
      </c>
    </row>
    <row r="94" spans="1:112" ht="20" customHeight="1" x14ac:dyDescent="0.35">
      <c r="A94" s="290"/>
      <c r="B94" s="270" t="s">
        <v>763</v>
      </c>
      <c r="C94" s="270" t="s">
        <v>1612</v>
      </c>
      <c r="D94" s="297" t="s">
        <v>646</v>
      </c>
      <c r="E94" s="270" t="s">
        <v>34</v>
      </c>
      <c r="F94" s="270" t="s">
        <v>1832</v>
      </c>
      <c r="G94" s="270" t="s">
        <v>225</v>
      </c>
      <c r="H94" s="298">
        <f>13.95*1.08</f>
        <v>15.066000000000001</v>
      </c>
      <c r="I94" s="292">
        <v>19</v>
      </c>
      <c r="J94" s="292">
        <v>0</v>
      </c>
      <c r="K94" s="286"/>
      <c r="L94" s="286"/>
      <c r="M94" s="286"/>
      <c r="N94" s="286"/>
      <c r="O94" s="286"/>
      <c r="P94" s="286"/>
      <c r="Q94" s="286"/>
      <c r="R94" s="286"/>
      <c r="S94" s="286"/>
      <c r="T94" s="300">
        <v>23</v>
      </c>
      <c r="U94" s="286"/>
      <c r="V94" s="294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7"/>
      <c r="AL94" s="288"/>
      <c r="AM94" s="287"/>
      <c r="AN94" s="287"/>
      <c r="AO94" s="287"/>
      <c r="AP94" s="286"/>
      <c r="AQ94" s="29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7"/>
      <c r="BE94" s="287"/>
      <c r="BF94" s="287"/>
      <c r="BG94" s="288">
        <v>20</v>
      </c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>
        <v>21</v>
      </c>
      <c r="BV94" s="287"/>
      <c r="BW94" s="287"/>
      <c r="BX94" s="286"/>
      <c r="BY94" s="289"/>
      <c r="BZ94" s="289"/>
      <c r="CA94" s="289"/>
      <c r="CB94" s="289"/>
      <c r="CC94" s="289"/>
      <c r="CD94" s="289"/>
      <c r="CE94" s="289"/>
      <c r="CF94" s="289"/>
      <c r="CG94" s="305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6"/>
      <c r="CT94" s="6"/>
      <c r="CU94" s="6"/>
      <c r="CV94" s="6"/>
      <c r="CW94" s="6"/>
      <c r="CX94" s="6"/>
      <c r="CY94" s="6"/>
      <c r="CZ94" s="6"/>
      <c r="DA94" s="343">
        <f t="shared" si="5"/>
        <v>15.066000000000001</v>
      </c>
      <c r="DH94" s="238">
        <v>35</v>
      </c>
    </row>
    <row r="95" spans="1:112" ht="20" customHeight="1" x14ac:dyDescent="0.35">
      <c r="A95" s="290"/>
      <c r="B95" s="270" t="s">
        <v>1539</v>
      </c>
      <c r="C95" s="270" t="s">
        <v>1613</v>
      </c>
      <c r="D95" s="297" t="s">
        <v>646</v>
      </c>
      <c r="E95" s="270" t="s">
        <v>34</v>
      </c>
      <c r="F95" s="270" t="s">
        <v>1832</v>
      </c>
      <c r="G95" s="270" t="s">
        <v>225</v>
      </c>
      <c r="H95" s="298">
        <f>13.95*1.08</f>
        <v>15.066000000000001</v>
      </c>
      <c r="I95" s="292">
        <v>20</v>
      </c>
      <c r="J95" s="292">
        <v>0</v>
      </c>
      <c r="K95" s="286"/>
      <c r="L95" s="286"/>
      <c r="M95" s="286"/>
      <c r="N95" s="286"/>
      <c r="O95" s="286"/>
      <c r="P95" s="286"/>
      <c r="Q95" s="286"/>
      <c r="R95" s="286"/>
      <c r="S95" s="286"/>
      <c r="T95" s="300">
        <v>23</v>
      </c>
      <c r="U95" s="286"/>
      <c r="V95" s="294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7"/>
      <c r="AL95" s="288"/>
      <c r="AM95" s="287"/>
      <c r="AN95" s="287"/>
      <c r="AO95" s="287"/>
      <c r="AP95" s="286"/>
      <c r="AQ95" s="29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6"/>
      <c r="BY95" s="289"/>
      <c r="BZ95" s="289"/>
      <c r="CA95" s="289"/>
      <c r="CB95" s="289"/>
      <c r="CC95" s="289"/>
      <c r="CD95" s="289"/>
      <c r="CE95" s="289"/>
      <c r="CF95" s="289"/>
      <c r="CG95" s="305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6"/>
      <c r="CT95" s="6"/>
      <c r="CU95" s="6"/>
      <c r="CV95" s="6"/>
      <c r="CW95" s="6"/>
      <c r="CX95" s="6"/>
      <c r="CY95" s="6"/>
      <c r="CZ95" s="6"/>
      <c r="DA95" s="343">
        <f t="shared" si="5"/>
        <v>15.066000000000001</v>
      </c>
      <c r="DH95" s="238">
        <v>23</v>
      </c>
    </row>
    <row r="96" spans="1:112" ht="20" customHeight="1" x14ac:dyDescent="0.35">
      <c r="A96" s="290"/>
      <c r="B96" s="270" t="s">
        <v>1540</v>
      </c>
      <c r="C96" s="270" t="s">
        <v>1614</v>
      </c>
      <c r="D96" s="297" t="s">
        <v>646</v>
      </c>
      <c r="E96" s="270" t="s">
        <v>34</v>
      </c>
      <c r="F96" s="270" t="s">
        <v>1832</v>
      </c>
      <c r="G96" s="270" t="s">
        <v>225</v>
      </c>
      <c r="H96" s="298">
        <f>13.95*1.08</f>
        <v>15.066000000000001</v>
      </c>
      <c r="I96" s="292">
        <v>20</v>
      </c>
      <c r="J96" s="292">
        <v>0</v>
      </c>
      <c r="K96" s="286"/>
      <c r="L96" s="286"/>
      <c r="M96" s="286"/>
      <c r="N96" s="286"/>
      <c r="O96" s="286"/>
      <c r="P96" s="286"/>
      <c r="Q96" s="286"/>
      <c r="R96" s="286"/>
      <c r="S96" s="286"/>
      <c r="T96" s="300">
        <v>23</v>
      </c>
      <c r="U96" s="286"/>
      <c r="V96" s="294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7"/>
      <c r="AL96" s="288"/>
      <c r="AM96" s="287"/>
      <c r="AN96" s="287"/>
      <c r="AO96" s="287"/>
      <c r="AP96" s="286"/>
      <c r="AQ96" s="29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7"/>
      <c r="BE96" s="287"/>
      <c r="BF96" s="287"/>
      <c r="BG96" s="288">
        <v>20</v>
      </c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>
        <v>21</v>
      </c>
      <c r="BV96" s="287"/>
      <c r="BW96" s="287"/>
      <c r="BX96" s="286"/>
      <c r="BY96" s="289"/>
      <c r="BZ96" s="289"/>
      <c r="CA96" s="289"/>
      <c r="CB96" s="289"/>
      <c r="CC96" s="289"/>
      <c r="CD96" s="289"/>
      <c r="CE96" s="289"/>
      <c r="CF96" s="289"/>
      <c r="CG96" s="305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>
        <v>20</v>
      </c>
      <c r="CR96" s="287"/>
      <c r="CS96" s="6"/>
      <c r="CT96" s="6"/>
      <c r="CU96" s="6"/>
      <c r="CV96" s="6"/>
      <c r="CW96" s="6"/>
      <c r="CX96" s="6"/>
      <c r="CY96" s="6"/>
      <c r="CZ96" s="6"/>
      <c r="DA96" s="343">
        <f t="shared" si="5"/>
        <v>15.066000000000001</v>
      </c>
      <c r="DH96" s="238">
        <v>23</v>
      </c>
    </row>
    <row r="97" spans="1:112" ht="20" customHeight="1" x14ac:dyDescent="0.35">
      <c r="A97" s="290"/>
      <c r="B97" s="270" t="s">
        <v>1542</v>
      </c>
      <c r="C97" s="270" t="s">
        <v>1615</v>
      </c>
      <c r="D97" s="297" t="s">
        <v>646</v>
      </c>
      <c r="E97" s="270" t="s">
        <v>34</v>
      </c>
      <c r="F97" s="270" t="s">
        <v>1832</v>
      </c>
      <c r="G97" s="270" t="s">
        <v>225</v>
      </c>
      <c r="H97" s="298">
        <f>13.95*1.08</f>
        <v>15.066000000000001</v>
      </c>
      <c r="I97" s="292">
        <v>20</v>
      </c>
      <c r="J97" s="292">
        <v>0</v>
      </c>
      <c r="K97" s="286"/>
      <c r="L97" s="286"/>
      <c r="M97" s="286"/>
      <c r="N97" s="286"/>
      <c r="O97" s="286"/>
      <c r="P97" s="286"/>
      <c r="Q97" s="286"/>
      <c r="R97" s="286"/>
      <c r="S97" s="286"/>
      <c r="T97" s="300">
        <v>23</v>
      </c>
      <c r="U97" s="286"/>
      <c r="V97" s="294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7"/>
      <c r="AL97" s="288"/>
      <c r="AM97" s="287"/>
      <c r="AN97" s="287"/>
      <c r="AO97" s="287"/>
      <c r="AP97" s="286"/>
      <c r="AQ97" s="29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7"/>
      <c r="BE97" s="287"/>
      <c r="BF97" s="287"/>
      <c r="BG97" s="288">
        <v>20</v>
      </c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>
        <v>21</v>
      </c>
      <c r="BV97" s="287"/>
      <c r="BW97" s="287"/>
      <c r="BX97" s="286"/>
      <c r="BY97" s="289"/>
      <c r="BZ97" s="289"/>
      <c r="CA97" s="289"/>
      <c r="CB97" s="289"/>
      <c r="CC97" s="289"/>
      <c r="CD97" s="289"/>
      <c r="CE97" s="289"/>
      <c r="CF97" s="289"/>
      <c r="CG97" s="305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6"/>
      <c r="CT97" s="6"/>
      <c r="CU97" s="6"/>
      <c r="CV97" s="6"/>
      <c r="CW97" s="6"/>
      <c r="CX97" s="6"/>
      <c r="CY97" s="6"/>
      <c r="CZ97" s="6"/>
      <c r="DA97" s="343">
        <f t="shared" si="5"/>
        <v>15.066000000000001</v>
      </c>
      <c r="DH97" s="238">
        <v>12</v>
      </c>
    </row>
    <row r="98" spans="1:112" ht="20" customHeight="1" x14ac:dyDescent="0.35">
      <c r="A98" s="290">
        <v>522061</v>
      </c>
      <c r="B98" s="270" t="s">
        <v>762</v>
      </c>
      <c r="C98" s="270" t="s">
        <v>2167</v>
      </c>
      <c r="D98" s="297" t="s">
        <v>646</v>
      </c>
      <c r="E98" s="270" t="s">
        <v>34</v>
      </c>
      <c r="F98" s="270" t="s">
        <v>1598</v>
      </c>
      <c r="G98" s="270" t="s">
        <v>42</v>
      </c>
      <c r="H98" s="298">
        <f>8.5*1.08</f>
        <v>9.18</v>
      </c>
      <c r="I98" s="292">
        <v>11</v>
      </c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94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7"/>
      <c r="AL98" s="288"/>
      <c r="AM98" s="287"/>
      <c r="AN98" s="287"/>
      <c r="AO98" s="287"/>
      <c r="AP98" s="286"/>
      <c r="AQ98" s="29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>
        <v>7</v>
      </c>
      <c r="BU98" s="287"/>
      <c r="BV98" s="287"/>
      <c r="BW98" s="287"/>
      <c r="BX98" s="286"/>
      <c r="BY98" s="289"/>
      <c r="BZ98" s="289"/>
      <c r="CA98" s="289"/>
      <c r="CB98" s="289"/>
      <c r="CC98" s="289"/>
      <c r="CD98" s="289"/>
      <c r="CE98" s="289"/>
      <c r="CF98" s="289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>
        <v>12</v>
      </c>
      <c r="CR98" s="287"/>
      <c r="CS98" s="288">
        <f>I98</f>
        <v>11</v>
      </c>
      <c r="CT98" s="6"/>
      <c r="CU98" s="6"/>
      <c r="CV98" s="6"/>
      <c r="CW98" s="6"/>
      <c r="CX98" s="6"/>
      <c r="CY98" s="6"/>
      <c r="CZ98" s="6"/>
      <c r="DA98" s="343">
        <f t="shared" si="5"/>
        <v>9.18</v>
      </c>
      <c r="DH98" s="238">
        <v>60</v>
      </c>
    </row>
    <row r="99" spans="1:112" ht="20" customHeight="1" x14ac:dyDescent="0.35">
      <c r="A99" s="290"/>
      <c r="B99" s="270" t="s">
        <v>764</v>
      </c>
      <c r="C99" s="270" t="s">
        <v>1616</v>
      </c>
      <c r="D99" s="297" t="s">
        <v>646</v>
      </c>
      <c r="E99" s="270" t="s">
        <v>34</v>
      </c>
      <c r="F99" s="270" t="s">
        <v>1831</v>
      </c>
      <c r="G99" s="270" t="s">
        <v>42</v>
      </c>
      <c r="H99" s="298">
        <f>8.5*1.08</f>
        <v>9.18</v>
      </c>
      <c r="I99" s="292">
        <v>11</v>
      </c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94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7"/>
      <c r="AL99" s="288"/>
      <c r="AM99" s="287"/>
      <c r="AN99" s="287"/>
      <c r="AO99" s="287"/>
      <c r="AP99" s="286"/>
      <c r="AQ99" s="29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6"/>
      <c r="BY99" s="289"/>
      <c r="BZ99" s="289"/>
      <c r="CA99" s="289"/>
      <c r="CB99" s="289"/>
      <c r="CC99" s="289"/>
      <c r="CD99" s="289"/>
      <c r="CE99" s="289"/>
      <c r="CF99" s="289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8"/>
      <c r="CT99" s="6"/>
      <c r="CU99" s="6"/>
      <c r="CV99" s="6"/>
      <c r="CW99" s="6"/>
      <c r="CX99" s="6"/>
      <c r="CY99" s="6"/>
      <c r="CZ99" s="6"/>
      <c r="DA99" s="343">
        <f t="shared" si="5"/>
        <v>9.18</v>
      </c>
      <c r="DH99" s="238"/>
    </row>
    <row r="100" spans="1:112" ht="20" customHeight="1" x14ac:dyDescent="0.35">
      <c r="A100" s="290" t="s">
        <v>2016</v>
      </c>
      <c r="B100" s="270" t="s">
        <v>1538</v>
      </c>
      <c r="C100" s="270" t="s">
        <v>1617</v>
      </c>
      <c r="D100" s="297" t="s">
        <v>646</v>
      </c>
      <c r="E100" s="270" t="s">
        <v>34</v>
      </c>
      <c r="F100" s="270" t="s">
        <v>1831</v>
      </c>
      <c r="G100" s="270" t="s">
        <v>42</v>
      </c>
      <c r="H100" s="298">
        <f>8.5*1.08</f>
        <v>9.18</v>
      </c>
      <c r="I100" s="292">
        <v>8</v>
      </c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94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7"/>
      <c r="AL100" s="288"/>
      <c r="AM100" s="287"/>
      <c r="AN100" s="287"/>
      <c r="AO100" s="287"/>
      <c r="AP100" s="286"/>
      <c r="AQ100" s="29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6"/>
      <c r="BY100" s="289"/>
      <c r="BZ100" s="289"/>
      <c r="CA100" s="289"/>
      <c r="CB100" s="289"/>
      <c r="CC100" s="289"/>
      <c r="CD100" s="289"/>
      <c r="CE100" s="289"/>
      <c r="CF100" s="289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>
        <v>12</v>
      </c>
      <c r="CR100" s="287"/>
      <c r="CS100" s="288"/>
      <c r="CT100" s="6"/>
      <c r="CU100" s="6"/>
      <c r="CV100" s="6"/>
      <c r="CW100" s="6"/>
      <c r="CX100" s="6"/>
      <c r="CY100" s="6"/>
      <c r="CZ100" s="6"/>
      <c r="DA100" s="343">
        <f t="shared" si="5"/>
        <v>9.18</v>
      </c>
      <c r="DH100" s="238"/>
    </row>
    <row r="101" spans="1:112" ht="20" customHeight="1" x14ac:dyDescent="0.35">
      <c r="A101" s="290"/>
      <c r="B101" s="270" t="s">
        <v>1541</v>
      </c>
      <c r="C101" s="270" t="s">
        <v>1618</v>
      </c>
      <c r="D101" s="297" t="s">
        <v>646</v>
      </c>
      <c r="E101" s="270" t="s">
        <v>34</v>
      </c>
      <c r="F101" s="270" t="s">
        <v>1831</v>
      </c>
      <c r="G101" s="270" t="s">
        <v>42</v>
      </c>
      <c r="H101" s="298">
        <f>8.5*1.08</f>
        <v>9.18</v>
      </c>
      <c r="I101" s="292">
        <v>11</v>
      </c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94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7"/>
      <c r="AL101" s="288"/>
      <c r="AM101" s="287"/>
      <c r="AN101" s="287"/>
      <c r="AO101" s="287"/>
      <c r="AP101" s="286"/>
      <c r="AQ101" s="29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6"/>
      <c r="BY101" s="289"/>
      <c r="BZ101" s="289"/>
      <c r="CA101" s="289"/>
      <c r="CB101" s="289"/>
      <c r="CC101" s="289"/>
      <c r="CD101" s="289"/>
      <c r="CE101" s="289"/>
      <c r="CF101" s="289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>
        <v>12</v>
      </c>
      <c r="CR101" s="287"/>
      <c r="CS101" s="288"/>
      <c r="CT101" s="6"/>
      <c r="CU101" s="6"/>
      <c r="CV101" s="6"/>
      <c r="CW101" s="6"/>
      <c r="CX101" s="6"/>
      <c r="CY101" s="6"/>
      <c r="CZ101" s="6"/>
      <c r="DA101" s="343">
        <f t="shared" si="5"/>
        <v>9.18</v>
      </c>
      <c r="DH101" s="238"/>
    </row>
    <row r="102" spans="1:112" ht="20" customHeight="1" x14ac:dyDescent="0.35">
      <c r="A102" s="290"/>
      <c r="B102" s="306" t="s">
        <v>1101</v>
      </c>
      <c r="C102" s="306" t="s">
        <v>1326</v>
      </c>
      <c r="D102" s="270" t="s">
        <v>646</v>
      </c>
      <c r="E102" s="270" t="s">
        <v>34</v>
      </c>
      <c r="F102" s="270" t="s">
        <v>66</v>
      </c>
      <c r="G102" s="270" t="s">
        <v>38</v>
      </c>
      <c r="H102" s="310">
        <v>5</v>
      </c>
      <c r="I102" s="292">
        <v>7</v>
      </c>
      <c r="J102" s="292">
        <v>0</v>
      </c>
      <c r="K102" s="286"/>
      <c r="L102" s="286"/>
      <c r="M102" s="286"/>
      <c r="N102" s="286"/>
      <c r="O102" s="286"/>
      <c r="P102" s="286"/>
      <c r="Q102" s="286"/>
      <c r="R102" s="286"/>
      <c r="S102" s="286"/>
      <c r="T102" s="300">
        <v>8</v>
      </c>
      <c r="U102" s="286"/>
      <c r="V102" s="294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7"/>
      <c r="AL102" s="288"/>
      <c r="AM102" s="287"/>
      <c r="AN102" s="287"/>
      <c r="AO102" s="287"/>
      <c r="AP102" s="286"/>
      <c r="AQ102" s="29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7"/>
      <c r="BE102" s="287"/>
      <c r="BF102" s="287"/>
      <c r="BG102" s="288">
        <v>7</v>
      </c>
      <c r="BH102" s="287"/>
      <c r="BI102" s="287"/>
      <c r="BJ102" s="287">
        <v>7</v>
      </c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99">
        <v>7.5</v>
      </c>
      <c r="BV102" s="287"/>
      <c r="BW102" s="287"/>
      <c r="BX102" s="286"/>
      <c r="BY102" s="289"/>
      <c r="BZ102" s="289">
        <v>7.5</v>
      </c>
      <c r="CA102" s="289"/>
      <c r="CB102" s="289"/>
      <c r="CC102" s="289"/>
      <c r="CD102" s="289"/>
      <c r="CE102" s="289"/>
      <c r="CF102" s="289"/>
      <c r="CG102" s="305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>
        <v>7</v>
      </c>
      <c r="CR102" s="287"/>
      <c r="CS102" s="288">
        <f>I102</f>
        <v>7</v>
      </c>
      <c r="CT102" s="6"/>
      <c r="CU102" s="6"/>
      <c r="CV102" s="6"/>
      <c r="CW102" s="6"/>
      <c r="CX102" s="6"/>
      <c r="CY102" s="6"/>
      <c r="CZ102" s="6"/>
      <c r="DA102" s="343">
        <f t="shared" si="5"/>
        <v>5</v>
      </c>
      <c r="DH102" s="238">
        <v>60</v>
      </c>
    </row>
    <row r="103" spans="1:112" ht="20" customHeight="1" x14ac:dyDescent="0.35">
      <c r="A103" s="290"/>
      <c r="B103" s="306" t="s">
        <v>1102</v>
      </c>
      <c r="C103" s="306" t="s">
        <v>1327</v>
      </c>
      <c r="D103" s="270" t="s">
        <v>646</v>
      </c>
      <c r="E103" s="270" t="s">
        <v>34</v>
      </c>
      <c r="F103" s="270" t="s">
        <v>66</v>
      </c>
      <c r="G103" s="270" t="s">
        <v>38</v>
      </c>
      <c r="H103" s="310">
        <v>5.5</v>
      </c>
      <c r="I103" s="296">
        <v>0</v>
      </c>
      <c r="J103" s="292">
        <v>0</v>
      </c>
      <c r="K103" s="286"/>
      <c r="L103" s="286"/>
      <c r="M103" s="286"/>
      <c r="N103" s="286"/>
      <c r="O103" s="286"/>
      <c r="P103" s="286"/>
      <c r="Q103" s="286"/>
      <c r="R103" s="286"/>
      <c r="S103" s="286"/>
      <c r="T103" s="300">
        <v>8</v>
      </c>
      <c r="U103" s="286"/>
      <c r="V103" s="294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>
        <v>7</v>
      </c>
      <c r="AG103" s="286"/>
      <c r="AH103" s="286"/>
      <c r="AI103" s="286"/>
      <c r="AJ103" s="286"/>
      <c r="AK103" s="287"/>
      <c r="AL103" s="288"/>
      <c r="AM103" s="287"/>
      <c r="AN103" s="287"/>
      <c r="AO103" s="287"/>
      <c r="AP103" s="286"/>
      <c r="AQ103" s="29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7"/>
      <c r="BE103" s="287"/>
      <c r="BF103" s="287"/>
      <c r="BG103" s="288">
        <v>7.5</v>
      </c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6"/>
      <c r="BY103" s="289"/>
      <c r="BZ103" s="289">
        <v>7.5</v>
      </c>
      <c r="CA103" s="289"/>
      <c r="CB103" s="289"/>
      <c r="CC103" s="289"/>
      <c r="CD103" s="289"/>
      <c r="CE103" s="289"/>
      <c r="CF103" s="289"/>
      <c r="CG103" s="305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6"/>
      <c r="CT103" s="6"/>
      <c r="CU103" s="6"/>
      <c r="CV103" s="6"/>
      <c r="CW103" s="6"/>
      <c r="CX103" s="6"/>
      <c r="CY103" s="6"/>
      <c r="CZ103" s="6"/>
      <c r="DA103" s="343">
        <f t="shared" si="5"/>
        <v>5.5</v>
      </c>
      <c r="DH103" s="238">
        <v>43</v>
      </c>
    </row>
    <row r="104" spans="1:112" ht="20" customHeight="1" x14ac:dyDescent="0.35">
      <c r="A104" s="290"/>
      <c r="B104" s="306" t="s">
        <v>1779</v>
      </c>
      <c r="C104" s="306" t="s">
        <v>1780</v>
      </c>
      <c r="D104" s="270" t="s">
        <v>535</v>
      </c>
      <c r="E104" s="270" t="s">
        <v>34</v>
      </c>
      <c r="F104" s="270" t="s">
        <v>637</v>
      </c>
      <c r="G104" s="270" t="s">
        <v>38</v>
      </c>
      <c r="H104" s="310">
        <v>5.19</v>
      </c>
      <c r="I104" s="296"/>
      <c r="J104" s="300"/>
      <c r="K104" s="286"/>
      <c r="L104" s="286"/>
      <c r="M104" s="286"/>
      <c r="N104" s="286"/>
      <c r="O104" s="286"/>
      <c r="P104" s="286">
        <v>8</v>
      </c>
      <c r="Q104" s="286"/>
      <c r="R104" s="286"/>
      <c r="S104" s="286"/>
      <c r="T104" s="300"/>
      <c r="U104" s="286"/>
      <c r="V104" s="294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7"/>
      <c r="AL104" s="288"/>
      <c r="AM104" s="287"/>
      <c r="AN104" s="287"/>
      <c r="AO104" s="287"/>
      <c r="AP104" s="286"/>
      <c r="AQ104" s="29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7"/>
      <c r="BE104" s="287"/>
      <c r="BF104" s="287"/>
      <c r="BG104" s="288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6"/>
      <c r="BY104" s="289"/>
      <c r="BZ104" s="289"/>
      <c r="CA104" s="289"/>
      <c r="CB104" s="289"/>
      <c r="CC104" s="289"/>
      <c r="CD104" s="289"/>
      <c r="CE104" s="289"/>
      <c r="CF104" s="289"/>
      <c r="CG104" s="305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6"/>
      <c r="CT104" s="6"/>
      <c r="CU104" s="6"/>
      <c r="CV104" s="6"/>
      <c r="CW104" s="6"/>
      <c r="CX104" s="6"/>
      <c r="CY104" s="6"/>
      <c r="CZ104" s="6"/>
      <c r="DA104" s="343">
        <f t="shared" si="5"/>
        <v>5.19</v>
      </c>
      <c r="DH104" s="238"/>
    </row>
    <row r="105" spans="1:112" ht="20" customHeight="1" x14ac:dyDescent="0.35">
      <c r="A105" s="290"/>
      <c r="B105" s="306" t="s">
        <v>2244</v>
      </c>
      <c r="C105" s="306" t="s">
        <v>2245</v>
      </c>
      <c r="D105" s="270" t="s">
        <v>653</v>
      </c>
      <c r="E105" s="270" t="s">
        <v>34</v>
      </c>
      <c r="F105" s="270" t="s">
        <v>66</v>
      </c>
      <c r="G105" s="270" t="s">
        <v>225</v>
      </c>
      <c r="H105" s="310"/>
      <c r="I105" s="296"/>
      <c r="J105" s="300"/>
      <c r="K105" s="286"/>
      <c r="L105" s="286"/>
      <c r="M105" s="286"/>
      <c r="N105" s="286"/>
      <c r="O105" s="286"/>
      <c r="P105" s="286"/>
      <c r="Q105" s="286"/>
      <c r="R105" s="286"/>
      <c r="S105" s="286"/>
      <c r="T105" s="300"/>
      <c r="U105" s="286"/>
      <c r="V105" s="294"/>
      <c r="W105" s="286"/>
      <c r="X105" s="286"/>
      <c r="Y105" s="286"/>
      <c r="Z105" s="286"/>
      <c r="AA105" s="286">
        <v>10</v>
      </c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7"/>
      <c r="AL105" s="288"/>
      <c r="AM105" s="287"/>
      <c r="AN105" s="287"/>
      <c r="AO105" s="287"/>
      <c r="AP105" s="286"/>
      <c r="AQ105" s="29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7"/>
      <c r="BE105" s="287"/>
      <c r="BF105" s="287"/>
      <c r="BG105" s="288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6"/>
      <c r="BY105" s="289"/>
      <c r="BZ105" s="289"/>
      <c r="CA105" s="289"/>
      <c r="CB105" s="289"/>
      <c r="CC105" s="289"/>
      <c r="CD105" s="289"/>
      <c r="CE105" s="289"/>
      <c r="CF105" s="289"/>
      <c r="CG105" s="305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6"/>
      <c r="CT105" s="6"/>
      <c r="CU105" s="6"/>
      <c r="CV105" s="6"/>
      <c r="CW105" s="6"/>
      <c r="CX105" s="6"/>
      <c r="CY105" s="6"/>
      <c r="CZ105" s="6"/>
      <c r="DA105" s="343"/>
      <c r="DH105" s="238"/>
    </row>
    <row r="106" spans="1:112" ht="20" customHeight="1" x14ac:dyDescent="0.35">
      <c r="A106" s="290"/>
      <c r="B106" s="270" t="s">
        <v>765</v>
      </c>
      <c r="C106" s="270" t="s">
        <v>663</v>
      </c>
      <c r="D106" s="297" t="s">
        <v>653</v>
      </c>
      <c r="E106" s="270" t="s">
        <v>34</v>
      </c>
      <c r="F106" s="270" t="s">
        <v>1830</v>
      </c>
      <c r="G106" s="270" t="s">
        <v>33</v>
      </c>
      <c r="H106" s="298">
        <v>93</v>
      </c>
      <c r="I106" s="292"/>
      <c r="J106" s="286"/>
      <c r="K106" s="286"/>
      <c r="L106" s="286"/>
      <c r="M106" s="286"/>
      <c r="N106" s="292">
        <v>118</v>
      </c>
      <c r="O106" s="286"/>
      <c r="P106" s="286"/>
      <c r="Q106" s="286"/>
      <c r="R106" s="286"/>
      <c r="S106" s="286"/>
      <c r="T106" s="286"/>
      <c r="U106" s="286"/>
      <c r="V106" s="294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7"/>
      <c r="AL106" s="288"/>
      <c r="AM106" s="287"/>
      <c r="AN106" s="287"/>
      <c r="AO106" s="287"/>
      <c r="AP106" s="286"/>
      <c r="AQ106" s="29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6"/>
      <c r="BY106" s="289"/>
      <c r="BZ106" s="289"/>
      <c r="CA106" s="289"/>
      <c r="CB106" s="289"/>
      <c r="CC106" s="289"/>
      <c r="CD106" s="289"/>
      <c r="CE106" s="289"/>
      <c r="CF106" s="289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6"/>
      <c r="CT106" s="6"/>
      <c r="CU106" s="6"/>
      <c r="CV106" s="6"/>
      <c r="CW106" s="6"/>
      <c r="CX106" s="6"/>
      <c r="CY106" s="6"/>
      <c r="CZ106" s="6"/>
      <c r="DA106" s="343">
        <f t="shared" si="5"/>
        <v>93</v>
      </c>
      <c r="DH106" s="238">
        <v>30</v>
      </c>
    </row>
    <row r="107" spans="1:112" ht="20" customHeight="1" x14ac:dyDescent="0.35">
      <c r="A107" s="290"/>
      <c r="B107" s="270" t="s">
        <v>766</v>
      </c>
      <c r="C107" s="270" t="s">
        <v>663</v>
      </c>
      <c r="D107" s="297" t="s">
        <v>653</v>
      </c>
      <c r="E107" s="270" t="s">
        <v>34</v>
      </c>
      <c r="F107" s="270" t="s">
        <v>1829</v>
      </c>
      <c r="G107" s="270" t="s">
        <v>205</v>
      </c>
      <c r="H107" s="298">
        <f>H106/10*2</f>
        <v>18.600000000000001</v>
      </c>
      <c r="I107" s="292"/>
      <c r="J107" s="286"/>
      <c r="K107" s="286"/>
      <c r="L107" s="286">
        <v>0</v>
      </c>
      <c r="M107" s="286"/>
      <c r="N107" s="286">
        <v>28</v>
      </c>
      <c r="O107" s="287">
        <v>28</v>
      </c>
      <c r="P107" s="292">
        <v>28</v>
      </c>
      <c r="Q107" s="287">
        <v>28</v>
      </c>
      <c r="R107" s="286"/>
      <c r="S107" s="286"/>
      <c r="T107" s="286"/>
      <c r="U107" s="286"/>
      <c r="V107" s="286"/>
      <c r="W107" s="286"/>
      <c r="X107" s="286"/>
      <c r="Y107" s="286"/>
      <c r="Z107" s="287">
        <v>28</v>
      </c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7"/>
      <c r="AL107" s="288"/>
      <c r="AM107" s="287"/>
      <c r="AN107" s="287"/>
      <c r="AO107" s="287"/>
      <c r="AP107" s="286"/>
      <c r="AQ107" s="29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7"/>
      <c r="BE107" s="287"/>
      <c r="BF107" s="287"/>
      <c r="BG107" s="288">
        <v>28</v>
      </c>
      <c r="BH107" s="287"/>
      <c r="BI107" s="287"/>
      <c r="BJ107" s="287"/>
      <c r="BK107" s="287"/>
      <c r="BL107" s="287"/>
      <c r="BM107" s="287">
        <v>28</v>
      </c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6"/>
      <c r="BY107" s="289"/>
      <c r="BZ107" s="289">
        <v>28</v>
      </c>
      <c r="CA107" s="289"/>
      <c r="CB107" s="289"/>
      <c r="CC107" s="289"/>
      <c r="CD107" s="289"/>
      <c r="CE107" s="289"/>
      <c r="CF107" s="289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>
        <v>6.5</v>
      </c>
      <c r="CR107" s="287"/>
      <c r="CS107" s="288">
        <f>I107</f>
        <v>0</v>
      </c>
      <c r="CT107" s="6"/>
      <c r="CU107" s="6"/>
      <c r="CV107" s="6"/>
      <c r="CW107" s="6"/>
      <c r="CX107" s="6"/>
      <c r="CY107" s="6"/>
      <c r="CZ107" s="6"/>
      <c r="DA107" s="343">
        <f t="shared" si="5"/>
        <v>18.600000000000001</v>
      </c>
      <c r="DH107" s="238">
        <v>38</v>
      </c>
    </row>
    <row r="108" spans="1:112" ht="20" customHeight="1" x14ac:dyDescent="0.35">
      <c r="A108" s="290">
        <v>520723</v>
      </c>
      <c r="B108" s="270" t="s">
        <v>767</v>
      </c>
      <c r="C108" s="270" t="s">
        <v>663</v>
      </c>
      <c r="D108" s="297" t="s">
        <v>653</v>
      </c>
      <c r="E108" s="270" t="s">
        <v>34</v>
      </c>
      <c r="F108" s="270" t="s">
        <v>1318</v>
      </c>
      <c r="G108" s="270" t="s">
        <v>205</v>
      </c>
      <c r="H108" s="298">
        <f>H107/4</f>
        <v>4.6500000000000004</v>
      </c>
      <c r="I108" s="300">
        <v>6.5</v>
      </c>
      <c r="J108" s="286"/>
      <c r="K108" s="286"/>
      <c r="L108" s="286"/>
      <c r="M108" s="286"/>
      <c r="N108" s="286"/>
      <c r="O108" s="287"/>
      <c r="P108" s="286"/>
      <c r="Q108" s="287"/>
      <c r="R108" s="286"/>
      <c r="S108" s="286"/>
      <c r="T108" s="286"/>
      <c r="U108" s="286"/>
      <c r="V108" s="286"/>
      <c r="W108" s="286"/>
      <c r="X108" s="286"/>
      <c r="Y108" s="286"/>
      <c r="Z108" s="287"/>
      <c r="AA108" s="286"/>
      <c r="AB108" s="286"/>
      <c r="AC108" s="286">
        <v>7</v>
      </c>
      <c r="AD108" s="286"/>
      <c r="AE108" s="286"/>
      <c r="AF108" s="286"/>
      <c r="AG108" s="286"/>
      <c r="AH108" s="286"/>
      <c r="AI108" s="286"/>
      <c r="AJ108" s="286"/>
      <c r="AK108" s="295"/>
      <c r="AL108" s="288"/>
      <c r="AM108" s="287"/>
      <c r="AN108" s="287"/>
      <c r="AO108" s="287"/>
      <c r="AP108" s="286"/>
      <c r="AQ108" s="29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7"/>
      <c r="BE108" s="287"/>
      <c r="BF108" s="287"/>
      <c r="BG108" s="288">
        <v>7</v>
      </c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6"/>
      <c r="BY108" s="289"/>
      <c r="BZ108" s="289"/>
      <c r="CA108" s="289"/>
      <c r="CB108" s="289"/>
      <c r="CC108" s="289"/>
      <c r="CD108" s="289"/>
      <c r="CE108" s="289"/>
      <c r="CF108" s="289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96">
        <v>7</v>
      </c>
      <c r="CT108" s="6"/>
      <c r="CU108" s="6"/>
      <c r="CV108" s="6"/>
      <c r="CW108" s="6"/>
      <c r="CX108" s="6"/>
      <c r="CY108" s="6"/>
      <c r="CZ108" s="6"/>
      <c r="DA108" s="343">
        <f t="shared" si="5"/>
        <v>4.6500000000000004</v>
      </c>
      <c r="DH108" s="238">
        <v>42</v>
      </c>
    </row>
    <row r="109" spans="1:112" ht="20" customHeight="1" x14ac:dyDescent="0.35">
      <c r="A109" s="290"/>
      <c r="B109" s="270" t="s">
        <v>768</v>
      </c>
      <c r="C109" s="270" t="s">
        <v>1619</v>
      </c>
      <c r="D109" s="270"/>
      <c r="E109" s="270" t="s">
        <v>354</v>
      </c>
      <c r="F109" s="270" t="s">
        <v>32</v>
      </c>
      <c r="G109" s="270" t="s">
        <v>39</v>
      </c>
      <c r="H109" s="298">
        <v>27.5</v>
      </c>
      <c r="I109" s="286">
        <v>0</v>
      </c>
      <c r="J109" s="286"/>
      <c r="K109" s="286"/>
      <c r="L109" s="286">
        <v>0</v>
      </c>
      <c r="M109" s="286"/>
      <c r="N109" s="292">
        <v>35</v>
      </c>
      <c r="O109" s="286"/>
      <c r="P109" s="286"/>
      <c r="Q109" s="286"/>
      <c r="R109" s="286"/>
      <c r="S109" s="286"/>
      <c r="T109" s="286"/>
      <c r="U109" s="286"/>
      <c r="V109" s="294">
        <v>38</v>
      </c>
      <c r="W109" s="286"/>
      <c r="X109" s="286"/>
      <c r="Y109" s="286"/>
      <c r="Z109" s="286"/>
      <c r="AA109" s="286"/>
      <c r="AB109" s="286">
        <v>35</v>
      </c>
      <c r="AC109" s="286"/>
      <c r="AD109" s="286"/>
      <c r="AE109" s="286"/>
      <c r="AF109" s="286"/>
      <c r="AG109" s="286"/>
      <c r="AH109" s="286"/>
      <c r="AI109" s="286"/>
      <c r="AJ109" s="286"/>
      <c r="AK109" s="287"/>
      <c r="AL109" s="288"/>
      <c r="AM109" s="287"/>
      <c r="AN109" s="287"/>
      <c r="AO109" s="287"/>
      <c r="AP109" s="286"/>
      <c r="AQ109" s="29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7"/>
      <c r="BE109" s="287"/>
      <c r="BF109" s="287"/>
      <c r="BG109" s="288">
        <v>38</v>
      </c>
      <c r="BH109" s="287"/>
      <c r="BI109" s="287"/>
      <c r="BJ109" s="287"/>
      <c r="BK109" s="287"/>
      <c r="BL109" s="287">
        <v>38</v>
      </c>
      <c r="BM109" s="287"/>
      <c r="BN109" s="287"/>
      <c r="BO109" s="287">
        <v>43</v>
      </c>
      <c r="BP109" s="287"/>
      <c r="BQ109" s="287"/>
      <c r="BR109" s="287"/>
      <c r="BS109" s="287"/>
      <c r="BT109" s="287"/>
      <c r="BU109" s="287"/>
      <c r="BV109" s="287"/>
      <c r="BW109" s="287"/>
      <c r="BX109" s="286"/>
      <c r="BY109" s="289"/>
      <c r="BZ109" s="289"/>
      <c r="CA109" s="289"/>
      <c r="CB109" s="289"/>
      <c r="CC109" s="289"/>
      <c r="CD109" s="289"/>
      <c r="CE109" s="289"/>
      <c r="CF109" s="289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302">
        <v>30</v>
      </c>
      <c r="CT109" s="6"/>
      <c r="CU109" s="6"/>
      <c r="CV109" s="6"/>
      <c r="CW109" s="6"/>
      <c r="CX109" s="6"/>
      <c r="CY109" s="6"/>
      <c r="CZ109" s="6"/>
      <c r="DA109" s="343">
        <f t="shared" si="5"/>
        <v>27.5</v>
      </c>
      <c r="DH109" s="238">
        <v>38</v>
      </c>
    </row>
    <row r="110" spans="1:112" ht="20" customHeight="1" x14ac:dyDescent="0.35">
      <c r="A110" s="290" t="s">
        <v>99</v>
      </c>
      <c r="B110" s="270" t="s">
        <v>769</v>
      </c>
      <c r="C110" s="270" t="s">
        <v>1619</v>
      </c>
      <c r="D110" s="270" t="s">
        <v>654</v>
      </c>
      <c r="E110" s="270" t="s">
        <v>354</v>
      </c>
      <c r="F110" s="270" t="s">
        <v>649</v>
      </c>
      <c r="G110" s="270" t="s">
        <v>39</v>
      </c>
      <c r="H110" s="298">
        <f>H108/1000*42*10</f>
        <v>1.9530000000000003</v>
      </c>
      <c r="I110" s="292">
        <v>30</v>
      </c>
      <c r="J110" s="292">
        <v>28</v>
      </c>
      <c r="K110" s="286"/>
      <c r="L110" s="286">
        <v>0</v>
      </c>
      <c r="M110" s="286"/>
      <c r="N110" s="286"/>
      <c r="O110" s="286">
        <v>25</v>
      </c>
      <c r="P110" s="292">
        <v>25</v>
      </c>
      <c r="Q110" s="286">
        <v>30</v>
      </c>
      <c r="R110" s="286">
        <v>25</v>
      </c>
      <c r="S110" s="286">
        <v>28</v>
      </c>
      <c r="T110" s="286">
        <v>28</v>
      </c>
      <c r="U110" s="286"/>
      <c r="V110" s="294"/>
      <c r="W110" s="286"/>
      <c r="X110" s="286"/>
      <c r="Y110" s="286"/>
      <c r="Z110" s="286">
        <v>25</v>
      </c>
      <c r="AA110" s="286"/>
      <c r="AB110" s="286"/>
      <c r="AC110" s="286">
        <v>25</v>
      </c>
      <c r="AD110" s="286"/>
      <c r="AE110" s="286"/>
      <c r="AF110" s="286"/>
      <c r="AG110" s="286"/>
      <c r="AH110" s="286"/>
      <c r="AI110" s="286"/>
      <c r="AJ110" s="286"/>
      <c r="AK110" s="295"/>
      <c r="AL110" s="288">
        <v>28</v>
      </c>
      <c r="AM110" s="287"/>
      <c r="AN110" s="287"/>
      <c r="AO110" s="286">
        <v>28</v>
      </c>
      <c r="AP110" s="286">
        <v>28</v>
      </c>
      <c r="AQ110" s="296"/>
      <c r="AR110" s="286">
        <v>28</v>
      </c>
      <c r="AS110" s="286"/>
      <c r="AT110" s="286">
        <v>28</v>
      </c>
      <c r="AU110" s="286">
        <v>28</v>
      </c>
      <c r="AV110" s="286">
        <v>28</v>
      </c>
      <c r="AW110" s="286">
        <v>28</v>
      </c>
      <c r="AX110" s="286">
        <v>28</v>
      </c>
      <c r="AY110" s="286">
        <v>28</v>
      </c>
      <c r="AZ110" s="286">
        <v>28</v>
      </c>
      <c r="BA110" s="286">
        <v>28</v>
      </c>
      <c r="BB110" s="286"/>
      <c r="BC110" s="286">
        <v>28</v>
      </c>
      <c r="BD110" s="287"/>
      <c r="BE110" s="287"/>
      <c r="BF110" s="287"/>
      <c r="BG110" s="289">
        <v>28</v>
      </c>
      <c r="BH110" s="287"/>
      <c r="BI110" s="287"/>
      <c r="BJ110" s="287"/>
      <c r="BK110" s="287">
        <v>30</v>
      </c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>
        <v>25</v>
      </c>
      <c r="BV110" s="287"/>
      <c r="BW110" s="287"/>
      <c r="BX110" s="286">
        <v>28</v>
      </c>
      <c r="BY110" s="289">
        <v>25</v>
      </c>
      <c r="BZ110" s="289">
        <v>27</v>
      </c>
      <c r="CA110" s="289"/>
      <c r="CB110" s="289"/>
      <c r="CC110" s="289"/>
      <c r="CD110" s="289"/>
      <c r="CE110" s="289"/>
      <c r="CF110" s="289"/>
      <c r="CG110" s="287"/>
      <c r="CH110" s="287"/>
      <c r="CI110" s="287"/>
      <c r="CJ110" s="287"/>
      <c r="CK110" s="287"/>
      <c r="CL110" s="287">
        <v>30</v>
      </c>
      <c r="CM110" s="292">
        <v>28</v>
      </c>
      <c r="CN110" s="287"/>
      <c r="CO110" s="292">
        <v>28</v>
      </c>
      <c r="CP110" s="287"/>
      <c r="CQ110" s="287">
        <v>30</v>
      </c>
      <c r="CR110" s="287"/>
      <c r="CS110" s="296">
        <v>30</v>
      </c>
      <c r="CT110" s="6"/>
      <c r="CU110" s="6"/>
      <c r="CV110" s="6"/>
      <c r="CW110" s="6"/>
      <c r="CX110" s="6"/>
      <c r="CY110" s="6"/>
      <c r="CZ110" s="6"/>
      <c r="DA110" s="343">
        <f>H110</f>
        <v>1.9530000000000003</v>
      </c>
      <c r="DH110" s="238">
        <v>34</v>
      </c>
    </row>
    <row r="111" spans="1:112" ht="20" customHeight="1" x14ac:dyDescent="0.35">
      <c r="A111" s="290" t="s">
        <v>2120</v>
      </c>
      <c r="B111" s="270" t="s">
        <v>769</v>
      </c>
      <c r="C111" s="270" t="s">
        <v>1619</v>
      </c>
      <c r="D111" s="270" t="s">
        <v>654</v>
      </c>
      <c r="E111" s="270" t="s">
        <v>354</v>
      </c>
      <c r="F111" s="270" t="s">
        <v>649</v>
      </c>
      <c r="G111" s="270" t="s">
        <v>39</v>
      </c>
      <c r="H111" s="298">
        <f>H109/1000*42*10</f>
        <v>11.55</v>
      </c>
      <c r="I111" s="292"/>
      <c r="J111" s="292"/>
      <c r="K111" s="286"/>
      <c r="L111" s="286"/>
      <c r="M111" s="286"/>
      <c r="N111" s="286"/>
      <c r="O111" s="286"/>
      <c r="P111" s="292"/>
      <c r="Q111" s="286"/>
      <c r="R111" s="286"/>
      <c r="S111" s="286"/>
      <c r="T111" s="286"/>
      <c r="U111" s="286"/>
      <c r="V111" s="294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95"/>
      <c r="AL111" s="288"/>
      <c r="AM111" s="287"/>
      <c r="AN111" s="287"/>
      <c r="AO111" s="286"/>
      <c r="AP111" s="286"/>
      <c r="AQ111" s="29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7"/>
      <c r="BE111" s="287"/>
      <c r="BF111" s="287"/>
      <c r="BG111" s="289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6"/>
      <c r="BY111" s="289"/>
      <c r="BZ111" s="289"/>
      <c r="CA111" s="289"/>
      <c r="CB111" s="289"/>
      <c r="CC111" s="289"/>
      <c r="CD111" s="289"/>
      <c r="CE111" s="289"/>
      <c r="CF111" s="289"/>
      <c r="CG111" s="287"/>
      <c r="CH111" s="287"/>
      <c r="CI111" s="287"/>
      <c r="CJ111" s="287"/>
      <c r="CK111" s="287"/>
      <c r="CL111" s="287"/>
      <c r="CM111" s="292"/>
      <c r="CN111" s="287"/>
      <c r="CO111" s="287"/>
      <c r="CP111" s="287"/>
      <c r="CQ111" s="287">
        <v>30</v>
      </c>
      <c r="CR111" s="287"/>
      <c r="CS111" s="296">
        <v>30</v>
      </c>
      <c r="CT111" s="6"/>
      <c r="CU111" s="6"/>
      <c r="CV111" s="6"/>
      <c r="CW111" s="6"/>
      <c r="CX111" s="6"/>
      <c r="CY111" s="6"/>
      <c r="CZ111" s="6"/>
      <c r="DA111" s="343">
        <f t="shared" si="5"/>
        <v>11.55</v>
      </c>
      <c r="DH111" s="238">
        <v>34</v>
      </c>
    </row>
    <row r="112" spans="1:112" ht="20" customHeight="1" x14ac:dyDescent="0.35">
      <c r="A112" s="290"/>
      <c r="B112" s="270" t="s">
        <v>770</v>
      </c>
      <c r="C112" s="270" t="s">
        <v>771</v>
      </c>
      <c r="D112" s="297" t="s">
        <v>654</v>
      </c>
      <c r="E112" s="270" t="s">
        <v>354</v>
      </c>
      <c r="F112" s="270" t="s">
        <v>396</v>
      </c>
      <c r="G112" s="270" t="s">
        <v>39</v>
      </c>
      <c r="H112" s="298">
        <f>H109/1000*30*10</f>
        <v>8.25</v>
      </c>
      <c r="I112" s="286"/>
      <c r="J112" s="292">
        <v>18</v>
      </c>
      <c r="K112" s="286"/>
      <c r="L112" s="286"/>
      <c r="M112" s="286"/>
      <c r="N112" s="286"/>
      <c r="O112" s="286"/>
      <c r="P112" s="292">
        <v>18</v>
      </c>
      <c r="Q112" s="286"/>
      <c r="R112" s="286"/>
      <c r="S112" s="286"/>
      <c r="T112" s="286"/>
      <c r="U112" s="286"/>
      <c r="V112" s="294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7"/>
      <c r="AL112" s="288"/>
      <c r="AM112" s="287"/>
      <c r="AN112" s="287"/>
      <c r="AO112" s="287"/>
      <c r="AP112" s="286">
        <v>18</v>
      </c>
      <c r="AQ112" s="296"/>
      <c r="AR112" s="286">
        <v>18</v>
      </c>
      <c r="AS112" s="286"/>
      <c r="AT112" s="286">
        <v>18</v>
      </c>
      <c r="AU112" s="286"/>
      <c r="AV112" s="286">
        <v>18</v>
      </c>
      <c r="AW112" s="286">
        <v>18</v>
      </c>
      <c r="AX112" s="286">
        <v>18</v>
      </c>
      <c r="AY112" s="286">
        <v>18</v>
      </c>
      <c r="AZ112" s="286">
        <v>18</v>
      </c>
      <c r="BA112" s="286">
        <v>18</v>
      </c>
      <c r="BB112" s="286"/>
      <c r="BC112" s="286">
        <v>18</v>
      </c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6"/>
      <c r="BY112" s="289"/>
      <c r="BZ112" s="289"/>
      <c r="CA112" s="289"/>
      <c r="CB112" s="289"/>
      <c r="CC112" s="289"/>
      <c r="CD112" s="289"/>
      <c r="CE112" s="289"/>
      <c r="CF112" s="289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1">
        <v>11</v>
      </c>
      <c r="CT112" s="6"/>
      <c r="CU112" s="6"/>
      <c r="CV112" s="6"/>
      <c r="CW112" s="6"/>
      <c r="CX112" s="6"/>
      <c r="CY112" s="6"/>
      <c r="CZ112" s="6"/>
      <c r="DA112" s="343">
        <f t="shared" si="5"/>
        <v>8.25</v>
      </c>
      <c r="DH112" s="238">
        <v>37</v>
      </c>
    </row>
    <row r="113" spans="1:112" ht="20" customHeight="1" x14ac:dyDescent="0.35">
      <c r="A113" s="290"/>
      <c r="B113" s="270" t="s">
        <v>1338</v>
      </c>
      <c r="C113" s="270" t="s">
        <v>1619</v>
      </c>
      <c r="D113" s="270" t="s">
        <v>654</v>
      </c>
      <c r="E113" s="270" t="s">
        <v>354</v>
      </c>
      <c r="F113" s="270" t="s">
        <v>1339</v>
      </c>
      <c r="G113" s="270" t="s">
        <v>39</v>
      </c>
      <c r="H113" s="298">
        <f>H109/1000*42</f>
        <v>1.155</v>
      </c>
      <c r="I113" s="286"/>
      <c r="J113" s="286"/>
      <c r="K113" s="286"/>
      <c r="L113" s="286"/>
      <c r="M113" s="286"/>
      <c r="N113" s="286"/>
      <c r="O113" s="286"/>
      <c r="P113" s="292"/>
      <c r="Q113" s="286"/>
      <c r="R113" s="286"/>
      <c r="S113" s="286"/>
      <c r="T113" s="286"/>
      <c r="U113" s="286"/>
      <c r="V113" s="294"/>
      <c r="W113" s="286"/>
      <c r="X113" s="286"/>
      <c r="Y113" s="286"/>
      <c r="Z113" s="286"/>
      <c r="AA113" s="286"/>
      <c r="AB113" s="286"/>
      <c r="AC113" s="286"/>
      <c r="AD113" s="286">
        <v>2.8</v>
      </c>
      <c r="AE113" s="286"/>
      <c r="AF113" s="286"/>
      <c r="AG113" s="286"/>
      <c r="AH113" s="286"/>
      <c r="AI113" s="286"/>
      <c r="AJ113" s="286"/>
      <c r="AK113" s="287"/>
      <c r="AL113" s="288"/>
      <c r="AM113" s="287"/>
      <c r="AN113" s="287"/>
      <c r="AO113" s="287"/>
      <c r="AP113" s="286"/>
      <c r="AQ113" s="29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6"/>
      <c r="BY113" s="289"/>
      <c r="BZ113" s="289"/>
      <c r="CA113" s="289"/>
      <c r="CB113" s="289"/>
      <c r="CC113" s="289"/>
      <c r="CD113" s="289"/>
      <c r="CE113" s="289"/>
      <c r="CF113" s="289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92">
        <v>30</v>
      </c>
      <c r="CT113" s="6"/>
      <c r="CU113" s="6"/>
      <c r="CV113" s="6"/>
      <c r="CW113" s="6"/>
      <c r="CX113" s="6"/>
      <c r="CY113" s="6"/>
      <c r="CZ113" s="6"/>
      <c r="DA113" s="343">
        <f t="shared" si="5"/>
        <v>1.155</v>
      </c>
      <c r="DH113" s="238">
        <v>8</v>
      </c>
    </row>
    <row r="114" spans="1:112" ht="20" customHeight="1" x14ac:dyDescent="0.35">
      <c r="A114" s="290"/>
      <c r="B114" s="270" t="s">
        <v>772</v>
      </c>
      <c r="C114" s="270" t="s">
        <v>1620</v>
      </c>
      <c r="D114" s="270"/>
      <c r="E114" s="270" t="s">
        <v>352</v>
      </c>
      <c r="F114" s="270" t="s">
        <v>32</v>
      </c>
      <c r="G114" s="270" t="s">
        <v>38</v>
      </c>
      <c r="H114" s="298">
        <v>35</v>
      </c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94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7"/>
      <c r="AL114" s="288"/>
      <c r="AM114" s="287"/>
      <c r="AN114" s="287"/>
      <c r="AO114" s="287"/>
      <c r="AP114" s="286"/>
      <c r="AQ114" s="29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7"/>
      <c r="BE114" s="287"/>
      <c r="BF114" s="287"/>
      <c r="BG114" s="288">
        <v>45</v>
      </c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6"/>
      <c r="BY114" s="289"/>
      <c r="BZ114" s="289"/>
      <c r="CA114" s="289"/>
      <c r="CB114" s="289"/>
      <c r="CC114" s="289"/>
      <c r="CD114" s="289"/>
      <c r="CE114" s="289"/>
      <c r="CF114" s="289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303">
        <v>32</v>
      </c>
      <c r="CT114" s="6"/>
      <c r="CU114" s="6"/>
      <c r="CV114" s="6"/>
      <c r="CW114" s="6"/>
      <c r="CX114" s="6"/>
      <c r="CY114" s="6"/>
      <c r="CZ114" s="6"/>
      <c r="DA114" s="343">
        <f t="shared" si="5"/>
        <v>35</v>
      </c>
      <c r="DH114" s="238">
        <v>16</v>
      </c>
    </row>
    <row r="115" spans="1:112" ht="20" customHeight="1" x14ac:dyDescent="0.35">
      <c r="A115" s="290" t="s">
        <v>102</v>
      </c>
      <c r="B115" s="270" t="s">
        <v>773</v>
      </c>
      <c r="C115" s="270" t="s">
        <v>1620</v>
      </c>
      <c r="D115" s="297" t="s">
        <v>627</v>
      </c>
      <c r="E115" s="270" t="s">
        <v>352</v>
      </c>
      <c r="F115" s="270" t="s">
        <v>681</v>
      </c>
      <c r="G115" s="270" t="s">
        <v>39</v>
      </c>
      <c r="H115" s="298">
        <f>H114/1000*43*10</f>
        <v>15.05</v>
      </c>
      <c r="I115" s="292">
        <v>30</v>
      </c>
      <c r="J115" s="292">
        <v>30</v>
      </c>
      <c r="K115" s="286"/>
      <c r="L115" s="286">
        <v>0</v>
      </c>
      <c r="M115" s="286"/>
      <c r="N115" s="286"/>
      <c r="O115" s="286"/>
      <c r="P115" s="292">
        <v>30</v>
      </c>
      <c r="Q115" s="286">
        <v>30</v>
      </c>
      <c r="R115" s="286">
        <v>30</v>
      </c>
      <c r="S115" s="286">
        <v>30</v>
      </c>
      <c r="T115" s="286">
        <v>30</v>
      </c>
      <c r="U115" s="286"/>
      <c r="V115" s="294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95"/>
      <c r="AL115" s="288"/>
      <c r="AM115" s="287"/>
      <c r="AN115" s="287"/>
      <c r="AO115" s="287"/>
      <c r="AP115" s="286">
        <v>30</v>
      </c>
      <c r="AQ115" s="296"/>
      <c r="AR115" s="286">
        <v>30</v>
      </c>
      <c r="AS115" s="286"/>
      <c r="AT115" s="286">
        <v>30</v>
      </c>
      <c r="AU115" s="286"/>
      <c r="AV115" s="286">
        <v>30</v>
      </c>
      <c r="AW115" s="286">
        <v>30</v>
      </c>
      <c r="AX115" s="286"/>
      <c r="AY115" s="286">
        <v>30</v>
      </c>
      <c r="AZ115" s="286">
        <v>30</v>
      </c>
      <c r="BA115" s="286">
        <v>30</v>
      </c>
      <c r="BB115" s="286"/>
      <c r="BC115" s="286">
        <v>30</v>
      </c>
      <c r="BD115" s="287"/>
      <c r="BE115" s="287"/>
      <c r="BF115" s="287"/>
      <c r="BG115" s="288">
        <v>30</v>
      </c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>
        <v>32</v>
      </c>
      <c r="BV115" s="287"/>
      <c r="BW115" s="287"/>
      <c r="BX115" s="286"/>
      <c r="BY115" s="289"/>
      <c r="BZ115" s="289">
        <v>32</v>
      </c>
      <c r="CA115" s="289"/>
      <c r="CB115" s="289"/>
      <c r="CC115" s="289"/>
      <c r="CD115" s="289"/>
      <c r="CE115" s="289"/>
      <c r="CF115" s="289"/>
      <c r="CG115" s="287"/>
      <c r="CH115" s="287"/>
      <c r="CI115" s="287"/>
      <c r="CJ115" s="287"/>
      <c r="CK115" s="287"/>
      <c r="CL115" s="287">
        <v>35</v>
      </c>
      <c r="CM115" s="292">
        <v>30</v>
      </c>
      <c r="CN115" s="292">
        <v>30</v>
      </c>
      <c r="CO115" s="292">
        <v>30</v>
      </c>
      <c r="CP115" s="287"/>
      <c r="CQ115" s="287">
        <v>30</v>
      </c>
      <c r="CR115" s="287"/>
      <c r="CS115" s="296">
        <v>30</v>
      </c>
      <c r="CT115" s="6"/>
      <c r="CU115" s="6"/>
      <c r="CV115" s="6"/>
      <c r="CW115" s="6"/>
      <c r="CX115" s="6"/>
      <c r="CY115" s="6"/>
      <c r="CZ115" s="6"/>
      <c r="DA115" s="343">
        <f t="shared" si="5"/>
        <v>15.05</v>
      </c>
      <c r="DH115" s="238">
        <v>16</v>
      </c>
    </row>
    <row r="116" spans="1:112" ht="20" customHeight="1" x14ac:dyDescent="0.35">
      <c r="A116" s="290"/>
      <c r="B116" s="270" t="s">
        <v>774</v>
      </c>
      <c r="C116" s="270" t="s">
        <v>1620</v>
      </c>
      <c r="D116" s="297" t="s">
        <v>627</v>
      </c>
      <c r="E116" s="270" t="s">
        <v>115</v>
      </c>
      <c r="F116" s="270" t="s">
        <v>775</v>
      </c>
      <c r="G116" s="270" t="s">
        <v>33</v>
      </c>
      <c r="H116" s="298"/>
      <c r="I116" s="292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94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7"/>
      <c r="AL116" s="288"/>
      <c r="AM116" s="287"/>
      <c r="AN116" s="287"/>
      <c r="AO116" s="287"/>
      <c r="AP116" s="286"/>
      <c r="AQ116" s="29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6"/>
      <c r="BY116" s="289"/>
      <c r="BZ116" s="289"/>
      <c r="CA116" s="289"/>
      <c r="CB116" s="289"/>
      <c r="CC116" s="289"/>
      <c r="CD116" s="289"/>
      <c r="CE116" s="289"/>
      <c r="CF116" s="289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302">
        <v>0.9</v>
      </c>
      <c r="CT116" s="6"/>
      <c r="CU116" s="6"/>
      <c r="CV116" s="6"/>
      <c r="CW116" s="6"/>
      <c r="CX116" s="6"/>
      <c r="CY116" s="6"/>
      <c r="CZ116" s="6"/>
      <c r="DA116" s="343">
        <f t="shared" si="5"/>
        <v>0</v>
      </c>
      <c r="DH116" s="238">
        <v>30.5</v>
      </c>
    </row>
    <row r="117" spans="1:112" ht="20" customHeight="1" x14ac:dyDescent="0.35">
      <c r="A117" s="290"/>
      <c r="B117" s="270" t="s">
        <v>776</v>
      </c>
      <c r="C117" s="270" t="s">
        <v>1620</v>
      </c>
      <c r="D117" s="297" t="s">
        <v>627</v>
      </c>
      <c r="E117" s="270" t="s">
        <v>115</v>
      </c>
      <c r="F117" s="270" t="s">
        <v>429</v>
      </c>
      <c r="G117" s="270" t="s">
        <v>31</v>
      </c>
      <c r="H117" s="298">
        <v>9</v>
      </c>
      <c r="I117" s="292">
        <v>11</v>
      </c>
      <c r="J117" s="292">
        <v>11</v>
      </c>
      <c r="K117" s="286"/>
      <c r="L117" s="286">
        <v>0</v>
      </c>
      <c r="M117" s="286"/>
      <c r="N117" s="286"/>
      <c r="O117" s="286"/>
      <c r="P117" s="286"/>
      <c r="Q117" s="286"/>
      <c r="R117" s="286"/>
      <c r="S117" s="286"/>
      <c r="T117" s="286"/>
      <c r="U117" s="286"/>
      <c r="V117" s="294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7"/>
      <c r="AL117" s="288"/>
      <c r="AM117" s="287">
        <v>11</v>
      </c>
      <c r="AN117" s="287"/>
      <c r="AO117" s="287">
        <v>11</v>
      </c>
      <c r="AP117" s="286">
        <v>11</v>
      </c>
      <c r="AQ117" s="296"/>
      <c r="AR117" s="286">
        <v>11</v>
      </c>
      <c r="AS117" s="286"/>
      <c r="AT117" s="286">
        <v>11</v>
      </c>
      <c r="AU117" s="286"/>
      <c r="AV117" s="286"/>
      <c r="AW117" s="286">
        <v>11</v>
      </c>
      <c r="AX117" s="286">
        <v>11</v>
      </c>
      <c r="AY117" s="286">
        <v>11</v>
      </c>
      <c r="AZ117" s="286">
        <v>11</v>
      </c>
      <c r="BA117" s="286">
        <v>11</v>
      </c>
      <c r="BB117" s="286">
        <v>11</v>
      </c>
      <c r="BC117" s="286">
        <v>11</v>
      </c>
      <c r="BD117" s="287"/>
      <c r="BE117" s="287"/>
      <c r="BF117" s="287"/>
      <c r="BG117" s="288">
        <v>11</v>
      </c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/>
      <c r="BV117" s="287"/>
      <c r="BW117" s="287"/>
      <c r="BX117" s="286"/>
      <c r="BY117" s="289"/>
      <c r="BZ117" s="289"/>
      <c r="CA117" s="289"/>
      <c r="CB117" s="289"/>
      <c r="CC117" s="289"/>
      <c r="CD117" s="289"/>
      <c r="CE117" s="289"/>
      <c r="CF117" s="289"/>
      <c r="CG117" s="287"/>
      <c r="CH117" s="287"/>
      <c r="CI117" s="287"/>
      <c r="CJ117" s="287"/>
      <c r="CK117" s="287"/>
      <c r="CL117" s="287"/>
      <c r="CM117" s="287"/>
      <c r="CN117" s="287"/>
      <c r="CO117" s="292">
        <v>11</v>
      </c>
      <c r="CP117" s="287"/>
      <c r="CQ117" s="287">
        <v>12</v>
      </c>
      <c r="CR117" s="287"/>
      <c r="CS117" s="296">
        <v>38</v>
      </c>
      <c r="CT117" s="6"/>
      <c r="CU117" s="6"/>
      <c r="CV117" s="6"/>
      <c r="CW117" s="6"/>
      <c r="CX117" s="6"/>
      <c r="CY117" s="6"/>
      <c r="CZ117" s="6"/>
      <c r="DA117" s="343">
        <f t="shared" si="5"/>
        <v>9</v>
      </c>
      <c r="DH117" s="238">
        <v>6.5</v>
      </c>
    </row>
    <row r="118" spans="1:112" ht="20" customHeight="1" x14ac:dyDescent="0.35">
      <c r="A118" s="290"/>
      <c r="B118" s="270" t="s">
        <v>777</v>
      </c>
      <c r="C118" s="270" t="s">
        <v>282</v>
      </c>
      <c r="D118" s="297" t="s">
        <v>653</v>
      </c>
      <c r="E118" s="270" t="s">
        <v>34</v>
      </c>
      <c r="F118" s="270" t="s">
        <v>32</v>
      </c>
      <c r="G118" s="270" t="s">
        <v>35</v>
      </c>
      <c r="H118" s="298">
        <f>230/10</f>
        <v>23</v>
      </c>
      <c r="I118" s="292">
        <v>30</v>
      </c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>
        <v>30</v>
      </c>
      <c r="AD118" s="286"/>
      <c r="AE118" s="286"/>
      <c r="AF118" s="286"/>
      <c r="AG118" s="286"/>
      <c r="AH118" s="286"/>
      <c r="AI118" s="286"/>
      <c r="AJ118" s="286"/>
      <c r="AK118" s="287"/>
      <c r="AL118" s="288"/>
      <c r="AM118" s="287"/>
      <c r="AN118" s="287"/>
      <c r="AO118" s="287"/>
      <c r="AP118" s="286"/>
      <c r="AQ118" s="29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7"/>
      <c r="BE118" s="287"/>
      <c r="BF118" s="287"/>
      <c r="BG118" s="288">
        <v>32</v>
      </c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6"/>
      <c r="BY118" s="289"/>
      <c r="BZ118" s="289">
        <v>31</v>
      </c>
      <c r="CA118" s="289"/>
      <c r="CB118" s="289"/>
      <c r="CC118" s="289"/>
      <c r="CD118" s="289"/>
      <c r="CE118" s="289"/>
      <c r="CF118" s="289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>
        <v>30</v>
      </c>
      <c r="CR118" s="287"/>
      <c r="CS118" s="296">
        <v>14</v>
      </c>
      <c r="CT118" s="6"/>
      <c r="CU118" s="6"/>
      <c r="CV118" s="6"/>
      <c r="CW118" s="6"/>
      <c r="CX118" s="6"/>
      <c r="CY118" s="6"/>
      <c r="CZ118" s="6"/>
      <c r="DA118" s="343">
        <f t="shared" si="5"/>
        <v>23</v>
      </c>
      <c r="DH118" s="238">
        <v>33</v>
      </c>
    </row>
    <row r="119" spans="1:112" ht="20" customHeight="1" x14ac:dyDescent="0.35">
      <c r="A119" s="290"/>
      <c r="B119" s="270" t="s">
        <v>778</v>
      </c>
      <c r="C119" s="270" t="s">
        <v>395</v>
      </c>
      <c r="D119" s="297" t="s">
        <v>627</v>
      </c>
      <c r="E119" s="270" t="s">
        <v>34</v>
      </c>
      <c r="F119" s="270" t="s">
        <v>1514</v>
      </c>
      <c r="G119" s="270" t="s">
        <v>39</v>
      </c>
      <c r="H119" s="298">
        <f>2.8*5</f>
        <v>14</v>
      </c>
      <c r="I119" s="292"/>
      <c r="J119" s="286"/>
      <c r="K119" s="286"/>
      <c r="L119" s="286"/>
      <c r="M119" s="286"/>
      <c r="N119" s="286"/>
      <c r="O119" s="286"/>
      <c r="P119" s="286">
        <v>20</v>
      </c>
      <c r="Q119" s="286"/>
      <c r="R119" s="286"/>
      <c r="S119" s="286"/>
      <c r="T119" s="286"/>
      <c r="U119" s="286"/>
      <c r="V119" s="294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7"/>
      <c r="AL119" s="288"/>
      <c r="AM119" s="287"/>
      <c r="AN119" s="287"/>
      <c r="AO119" s="287"/>
      <c r="AP119" s="286"/>
      <c r="AQ119" s="29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7"/>
      <c r="BE119" s="287"/>
      <c r="BF119" s="287"/>
      <c r="BG119" s="288">
        <v>20</v>
      </c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6"/>
      <c r="BY119" s="289"/>
      <c r="BZ119" s="289"/>
      <c r="CA119" s="289"/>
      <c r="CB119" s="289"/>
      <c r="CC119" s="289"/>
      <c r="CD119" s="289"/>
      <c r="CE119" s="289"/>
      <c r="CF119" s="289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1">
        <v>13</v>
      </c>
      <c r="CT119" s="6"/>
      <c r="CU119" s="6"/>
      <c r="CV119" s="6"/>
      <c r="CW119" s="6"/>
      <c r="CX119" s="6"/>
      <c r="CY119" s="6"/>
      <c r="CZ119" s="6"/>
      <c r="DA119" s="343">
        <f t="shared" si="5"/>
        <v>14</v>
      </c>
      <c r="DH119" s="238">
        <v>45</v>
      </c>
    </row>
    <row r="120" spans="1:112" ht="20" customHeight="1" x14ac:dyDescent="0.35">
      <c r="A120" s="290" t="s">
        <v>779</v>
      </c>
      <c r="B120" s="270" t="s">
        <v>780</v>
      </c>
      <c r="C120" s="270" t="s">
        <v>395</v>
      </c>
      <c r="D120" s="297" t="s">
        <v>627</v>
      </c>
      <c r="E120" s="270" t="s">
        <v>34</v>
      </c>
      <c r="F120" s="270" t="s">
        <v>781</v>
      </c>
      <c r="G120" s="270" t="s">
        <v>39</v>
      </c>
      <c r="H120" s="298"/>
      <c r="I120" s="292"/>
      <c r="J120" s="286"/>
      <c r="K120" s="286"/>
      <c r="L120" s="286"/>
      <c r="M120" s="286"/>
      <c r="N120" s="286"/>
      <c r="O120" s="286"/>
      <c r="P120" s="292"/>
      <c r="Q120" s="286"/>
      <c r="R120" s="286"/>
      <c r="S120" s="286"/>
      <c r="T120" s="286"/>
      <c r="U120" s="286"/>
      <c r="V120" s="294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7"/>
      <c r="AL120" s="288"/>
      <c r="AM120" s="287"/>
      <c r="AN120" s="287"/>
      <c r="AO120" s="287"/>
      <c r="AP120" s="286"/>
      <c r="AQ120" s="29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6"/>
      <c r="BY120" s="289"/>
      <c r="BZ120" s="289"/>
      <c r="CA120" s="289"/>
      <c r="CB120" s="289"/>
      <c r="CC120" s="289"/>
      <c r="CD120" s="289"/>
      <c r="CE120" s="289"/>
      <c r="CF120" s="289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92">
        <v>22</v>
      </c>
      <c r="CT120" s="6"/>
      <c r="CU120" s="6"/>
      <c r="CV120" s="6"/>
      <c r="CW120" s="6"/>
      <c r="CX120" s="6"/>
      <c r="CY120" s="6"/>
      <c r="CZ120" s="6"/>
      <c r="DA120" s="343">
        <f t="shared" si="5"/>
        <v>0</v>
      </c>
      <c r="DH120" s="238">
        <v>8</v>
      </c>
    </row>
    <row r="121" spans="1:112" ht="20" customHeight="1" x14ac:dyDescent="0.35">
      <c r="A121" s="290"/>
      <c r="B121" s="270" t="s">
        <v>782</v>
      </c>
      <c r="C121" s="270" t="s">
        <v>395</v>
      </c>
      <c r="D121" s="297" t="s">
        <v>627</v>
      </c>
      <c r="E121" s="270" t="s">
        <v>34</v>
      </c>
      <c r="F121" s="270" t="s">
        <v>783</v>
      </c>
      <c r="G121" s="270" t="s">
        <v>44</v>
      </c>
      <c r="H121" s="298"/>
      <c r="I121" s="292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94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7"/>
      <c r="AL121" s="288"/>
      <c r="AM121" s="287"/>
      <c r="AN121" s="287"/>
      <c r="AO121" s="287"/>
      <c r="AP121" s="286"/>
      <c r="AQ121" s="29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6"/>
      <c r="BY121" s="289"/>
      <c r="BZ121" s="289"/>
      <c r="CA121" s="289"/>
      <c r="CB121" s="289"/>
      <c r="CC121" s="289"/>
      <c r="CD121" s="289"/>
      <c r="CE121" s="289"/>
      <c r="CF121" s="289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6">
        <v>32</v>
      </c>
      <c r="CT121" s="6"/>
      <c r="CU121" s="6"/>
      <c r="CV121" s="6"/>
      <c r="CW121" s="6"/>
      <c r="CX121" s="6"/>
      <c r="CY121" s="6"/>
      <c r="CZ121" s="6"/>
      <c r="DA121" s="343">
        <f t="shared" si="5"/>
        <v>0</v>
      </c>
      <c r="DH121" s="238">
        <v>2</v>
      </c>
    </row>
    <row r="122" spans="1:112" ht="20" customHeight="1" x14ac:dyDescent="0.35">
      <c r="A122" s="301"/>
      <c r="B122" s="270" t="s">
        <v>784</v>
      </c>
      <c r="C122" s="270" t="s">
        <v>1621</v>
      </c>
      <c r="D122" s="270"/>
      <c r="E122" s="270" t="s">
        <v>355</v>
      </c>
      <c r="F122" s="270" t="s">
        <v>32</v>
      </c>
      <c r="G122" s="270" t="s">
        <v>39</v>
      </c>
      <c r="H122" s="298">
        <v>15</v>
      </c>
      <c r="I122" s="286">
        <v>0</v>
      </c>
      <c r="J122" s="286"/>
      <c r="K122" s="286"/>
      <c r="L122" s="286"/>
      <c r="M122" s="286"/>
      <c r="N122" s="292">
        <v>40</v>
      </c>
      <c r="O122" s="286">
        <v>40</v>
      </c>
      <c r="P122" s="286"/>
      <c r="Q122" s="286"/>
      <c r="R122" s="286"/>
      <c r="S122" s="286"/>
      <c r="T122" s="286"/>
      <c r="U122" s="286"/>
      <c r="V122" s="294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7"/>
      <c r="AL122" s="288"/>
      <c r="AM122" s="287"/>
      <c r="AN122" s="287"/>
      <c r="AO122" s="287"/>
      <c r="AP122" s="286"/>
      <c r="AQ122" s="29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7"/>
      <c r="BE122" s="287"/>
      <c r="BF122" s="287"/>
      <c r="BG122" s="288">
        <v>40</v>
      </c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6"/>
      <c r="BY122" s="289"/>
      <c r="BZ122" s="289"/>
      <c r="CA122" s="289"/>
      <c r="CB122" s="289"/>
      <c r="CC122" s="289"/>
      <c r="CD122" s="289"/>
      <c r="CE122" s="289"/>
      <c r="CF122" s="289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9">
        <v>0.95</v>
      </c>
      <c r="CT122" s="6"/>
      <c r="CU122" s="6"/>
      <c r="CV122" s="6"/>
      <c r="CW122" s="6"/>
      <c r="CX122" s="6"/>
      <c r="CY122" s="6"/>
      <c r="CZ122" s="6"/>
      <c r="DA122" s="343">
        <f t="shared" si="5"/>
        <v>15</v>
      </c>
      <c r="DH122" s="238">
        <v>2.5</v>
      </c>
    </row>
    <row r="123" spans="1:112" ht="20" customHeight="1" x14ac:dyDescent="0.35">
      <c r="A123" s="301"/>
      <c r="B123" s="270" t="s">
        <v>785</v>
      </c>
      <c r="C123" s="270" t="s">
        <v>1621</v>
      </c>
      <c r="D123" s="270"/>
      <c r="E123" s="270" t="s">
        <v>355</v>
      </c>
      <c r="F123" s="270" t="s">
        <v>682</v>
      </c>
      <c r="G123" s="270" t="s">
        <v>39</v>
      </c>
      <c r="H123" s="298">
        <f>H122/1000*80*10</f>
        <v>12</v>
      </c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94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7"/>
      <c r="AL123" s="288"/>
      <c r="AM123" s="287"/>
      <c r="AN123" s="287"/>
      <c r="AO123" s="287"/>
      <c r="AP123" s="286"/>
      <c r="AQ123" s="29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7"/>
      <c r="BE123" s="287"/>
      <c r="BF123" s="287"/>
      <c r="BG123" s="288">
        <v>28</v>
      </c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6"/>
      <c r="BY123" s="289"/>
      <c r="BZ123" s="289">
        <v>25</v>
      </c>
      <c r="CA123" s="289"/>
      <c r="CB123" s="289"/>
      <c r="CC123" s="289"/>
      <c r="CD123" s="289"/>
      <c r="CE123" s="289"/>
      <c r="CF123" s="289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6">
        <v>15</v>
      </c>
      <c r="CT123" s="6"/>
      <c r="CU123" s="6"/>
      <c r="CV123" s="6"/>
      <c r="CW123" s="6"/>
      <c r="CX123" s="6"/>
      <c r="CY123" s="6"/>
      <c r="CZ123" s="6"/>
      <c r="DA123" s="343">
        <f t="shared" si="5"/>
        <v>12</v>
      </c>
      <c r="DH123" s="238">
        <v>5.5</v>
      </c>
    </row>
    <row r="124" spans="1:112" ht="20" customHeight="1" x14ac:dyDescent="0.35">
      <c r="A124" s="301"/>
      <c r="B124" s="270" t="s">
        <v>786</v>
      </c>
      <c r="C124" s="270" t="s">
        <v>1621</v>
      </c>
      <c r="D124" s="270"/>
      <c r="E124" s="270" t="s">
        <v>355</v>
      </c>
      <c r="F124" s="270" t="s">
        <v>683</v>
      </c>
      <c r="G124" s="270" t="s">
        <v>39</v>
      </c>
      <c r="H124" s="298">
        <f>H122/1000*140*10</f>
        <v>21</v>
      </c>
      <c r="I124" s="286"/>
      <c r="J124" s="286"/>
      <c r="K124" s="286"/>
      <c r="L124" s="286"/>
      <c r="M124" s="286"/>
      <c r="N124" s="286"/>
      <c r="O124" s="286"/>
      <c r="P124" s="286">
        <v>40</v>
      </c>
      <c r="Q124" s="286"/>
      <c r="R124" s="286"/>
      <c r="S124" s="286"/>
      <c r="T124" s="286"/>
      <c r="U124" s="286"/>
      <c r="V124" s="294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7"/>
      <c r="AL124" s="288"/>
      <c r="AM124" s="287"/>
      <c r="AN124" s="287"/>
      <c r="AO124" s="287"/>
      <c r="AP124" s="286"/>
      <c r="AQ124" s="29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>
        <v>30</v>
      </c>
      <c r="BV124" s="287"/>
      <c r="BW124" s="287"/>
      <c r="BX124" s="286"/>
      <c r="BY124" s="289"/>
      <c r="BZ124" s="289"/>
      <c r="CA124" s="289"/>
      <c r="CB124" s="289"/>
      <c r="CC124" s="289"/>
      <c r="CD124" s="289"/>
      <c r="CE124" s="289"/>
      <c r="CF124" s="289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92">
        <v>10</v>
      </c>
      <c r="CT124" s="6"/>
      <c r="CU124" s="6"/>
      <c r="CV124" s="6"/>
      <c r="CW124" s="6"/>
      <c r="CX124" s="6"/>
      <c r="CY124" s="6"/>
      <c r="CZ124" s="6"/>
      <c r="DA124" s="343">
        <f t="shared" si="5"/>
        <v>21</v>
      </c>
      <c r="DH124" s="238">
        <v>2</v>
      </c>
    </row>
    <row r="125" spans="1:112" ht="20" customHeight="1" x14ac:dyDescent="0.35">
      <c r="A125" s="301"/>
      <c r="B125" s="270" t="s">
        <v>1256</v>
      </c>
      <c r="C125" s="270" t="s">
        <v>1621</v>
      </c>
      <c r="D125" s="270"/>
      <c r="E125" s="270" t="s">
        <v>355</v>
      </c>
      <c r="F125" s="270" t="s">
        <v>1257</v>
      </c>
      <c r="G125" s="270"/>
      <c r="H125" s="298">
        <f>H122/1000*35*10</f>
        <v>5.25</v>
      </c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94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7"/>
      <c r="AL125" s="288"/>
      <c r="AM125" s="287"/>
      <c r="AN125" s="287"/>
      <c r="AO125" s="287"/>
      <c r="AP125" s="286"/>
      <c r="AQ125" s="29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6"/>
      <c r="BY125" s="289"/>
      <c r="BZ125" s="289"/>
      <c r="CA125" s="289"/>
      <c r="CB125" s="289"/>
      <c r="CC125" s="289"/>
      <c r="CD125" s="289"/>
      <c r="CE125" s="289"/>
      <c r="CF125" s="289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92">
        <v>4.5</v>
      </c>
      <c r="CT125" s="6"/>
      <c r="CU125" s="6"/>
      <c r="CV125" s="6"/>
      <c r="CW125" s="6"/>
      <c r="CX125" s="6"/>
      <c r="CY125" s="6"/>
      <c r="CZ125" s="6"/>
      <c r="DA125" s="343">
        <f t="shared" si="5"/>
        <v>5.25</v>
      </c>
      <c r="DH125" s="238">
        <v>3.5</v>
      </c>
    </row>
    <row r="126" spans="1:112" ht="20" customHeight="1" x14ac:dyDescent="0.35">
      <c r="A126" s="301"/>
      <c r="B126" s="306" t="s">
        <v>1670</v>
      </c>
      <c r="C126" s="270" t="s">
        <v>1671</v>
      </c>
      <c r="D126" s="270"/>
      <c r="E126" s="270" t="s">
        <v>34</v>
      </c>
      <c r="F126" s="270" t="s">
        <v>32</v>
      </c>
      <c r="G126" s="270" t="s">
        <v>1672</v>
      </c>
      <c r="H126" s="298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94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7"/>
      <c r="AL126" s="288"/>
      <c r="AM126" s="287"/>
      <c r="AN126" s="287"/>
      <c r="AO126" s="287"/>
      <c r="AP126" s="286"/>
      <c r="AQ126" s="29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6"/>
      <c r="BY126" s="289"/>
      <c r="BZ126" s="289"/>
      <c r="CA126" s="289"/>
      <c r="CB126" s="289"/>
      <c r="CC126" s="289"/>
      <c r="CD126" s="289"/>
      <c r="CE126" s="289"/>
      <c r="CF126" s="289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92"/>
      <c r="CT126" s="6"/>
      <c r="CU126" s="6"/>
      <c r="CV126" s="6"/>
      <c r="CW126" s="6"/>
      <c r="CX126" s="6"/>
      <c r="CY126" s="6"/>
      <c r="CZ126" s="6"/>
      <c r="DA126" s="343">
        <f t="shared" si="5"/>
        <v>0</v>
      </c>
      <c r="DH126" s="238"/>
    </row>
    <row r="127" spans="1:112" ht="20" customHeight="1" x14ac:dyDescent="0.35">
      <c r="A127" s="301"/>
      <c r="B127" s="270" t="s">
        <v>2055</v>
      </c>
      <c r="C127" s="270" t="s">
        <v>2056</v>
      </c>
      <c r="D127" s="270"/>
      <c r="E127" s="270" t="s">
        <v>355</v>
      </c>
      <c r="F127" s="270" t="s">
        <v>2057</v>
      </c>
      <c r="G127" s="270" t="s">
        <v>1672</v>
      </c>
      <c r="H127" s="298"/>
      <c r="I127" s="286"/>
      <c r="J127" s="286"/>
      <c r="K127" s="286"/>
      <c r="L127" s="286"/>
      <c r="M127" s="286"/>
      <c r="N127" s="286"/>
      <c r="O127" s="286"/>
      <c r="P127" s="286"/>
      <c r="Q127" s="286">
        <v>35</v>
      </c>
      <c r="R127" s="286"/>
      <c r="S127" s="286"/>
      <c r="T127" s="286"/>
      <c r="U127" s="286"/>
      <c r="V127" s="294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7"/>
      <c r="AL127" s="288"/>
      <c r="AM127" s="287"/>
      <c r="AN127" s="287"/>
      <c r="AO127" s="287"/>
      <c r="AP127" s="286"/>
      <c r="AQ127" s="29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6"/>
      <c r="BY127" s="289"/>
      <c r="BZ127" s="289"/>
      <c r="CA127" s="289"/>
      <c r="CB127" s="289"/>
      <c r="CC127" s="289"/>
      <c r="CD127" s="289"/>
      <c r="CE127" s="289"/>
      <c r="CF127" s="289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92"/>
      <c r="CT127" s="6"/>
      <c r="CU127" s="6"/>
      <c r="CV127" s="6"/>
      <c r="CW127" s="6"/>
      <c r="CX127" s="6"/>
      <c r="CY127" s="6"/>
      <c r="CZ127" s="6"/>
      <c r="DA127" s="343"/>
      <c r="DH127" s="238"/>
    </row>
    <row r="128" spans="1:112" ht="20" customHeight="1" x14ac:dyDescent="0.35">
      <c r="A128" s="301"/>
      <c r="B128" s="270" t="s">
        <v>787</v>
      </c>
      <c r="C128" s="270" t="s">
        <v>1622</v>
      </c>
      <c r="D128" s="270"/>
      <c r="E128" s="270" t="s">
        <v>427</v>
      </c>
      <c r="F128" s="270" t="s">
        <v>66</v>
      </c>
      <c r="G128" s="270" t="s">
        <v>791</v>
      </c>
      <c r="H128" s="298">
        <v>31.5</v>
      </c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94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7"/>
      <c r="AL128" s="288"/>
      <c r="AM128" s="287"/>
      <c r="AN128" s="287"/>
      <c r="AO128" s="287"/>
      <c r="AP128" s="286"/>
      <c r="AQ128" s="29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7"/>
      <c r="BE128" s="287"/>
      <c r="BF128" s="287"/>
      <c r="BG128" s="288">
        <v>38</v>
      </c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6"/>
      <c r="BY128" s="289"/>
      <c r="BZ128" s="289"/>
      <c r="CA128" s="289"/>
      <c r="CB128" s="289"/>
      <c r="CC128" s="289"/>
      <c r="CD128" s="289"/>
      <c r="CE128" s="289"/>
      <c r="CF128" s="289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>
        <v>45</v>
      </c>
      <c r="CS128" s="292">
        <v>6</v>
      </c>
      <c r="CT128" s="6"/>
      <c r="CU128" s="6"/>
      <c r="CV128" s="6"/>
      <c r="CW128" s="6"/>
      <c r="CX128" s="6"/>
      <c r="CY128" s="6"/>
      <c r="CZ128" s="6"/>
      <c r="DA128" s="343">
        <f t="shared" si="5"/>
        <v>31.5</v>
      </c>
      <c r="DH128" s="238">
        <v>15</v>
      </c>
    </row>
    <row r="129" spans="1:112" ht="20" customHeight="1" x14ac:dyDescent="0.35">
      <c r="A129" s="301"/>
      <c r="B129" s="270" t="s">
        <v>788</v>
      </c>
      <c r="C129" s="270" t="s">
        <v>1622</v>
      </c>
      <c r="D129" s="270"/>
      <c r="E129" s="270" t="s">
        <v>427</v>
      </c>
      <c r="F129" s="270" t="s">
        <v>428</v>
      </c>
      <c r="G129" s="270" t="s">
        <v>39</v>
      </c>
      <c r="H129" s="298">
        <f>H128/1000*110*10</f>
        <v>34.65</v>
      </c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7"/>
      <c r="AL129" s="288"/>
      <c r="AM129" s="287"/>
      <c r="AN129" s="287"/>
      <c r="AO129" s="287"/>
      <c r="AP129" s="286"/>
      <c r="AQ129" s="29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6"/>
      <c r="BY129" s="289"/>
      <c r="BZ129" s="289"/>
      <c r="CA129" s="289"/>
      <c r="CB129" s="289"/>
      <c r="CC129" s="289"/>
      <c r="CD129" s="289"/>
      <c r="CE129" s="289"/>
      <c r="CF129" s="289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6"/>
      <c r="CT129" s="6"/>
      <c r="CU129" s="6"/>
      <c r="CV129" s="6"/>
      <c r="CW129" s="6"/>
      <c r="CX129" s="6"/>
      <c r="CY129" s="6"/>
      <c r="CZ129" s="6"/>
      <c r="DA129" s="343">
        <f t="shared" si="5"/>
        <v>34.65</v>
      </c>
      <c r="DH129" s="238">
        <v>0.55000000000000004</v>
      </c>
    </row>
    <row r="130" spans="1:112" ht="20" customHeight="1" x14ac:dyDescent="0.35">
      <c r="A130" s="301"/>
      <c r="B130" s="270" t="s">
        <v>789</v>
      </c>
      <c r="C130" s="270" t="s">
        <v>1622</v>
      </c>
      <c r="D130" s="270" t="s">
        <v>627</v>
      </c>
      <c r="E130" s="270" t="s">
        <v>427</v>
      </c>
      <c r="F130" s="270" t="s">
        <v>540</v>
      </c>
      <c r="G130" s="270" t="s">
        <v>39</v>
      </c>
      <c r="H130" s="298">
        <f>H129/1000*110*4</f>
        <v>15.246</v>
      </c>
      <c r="I130" s="286"/>
      <c r="J130" s="292">
        <v>18</v>
      </c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94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7"/>
      <c r="AL130" s="288"/>
      <c r="AM130" s="287"/>
      <c r="AN130" s="287"/>
      <c r="AO130" s="287"/>
      <c r="AP130" s="286"/>
      <c r="AQ130" s="29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6"/>
      <c r="BY130" s="289"/>
      <c r="BZ130" s="289"/>
      <c r="CA130" s="289"/>
      <c r="CB130" s="289"/>
      <c r="CC130" s="289"/>
      <c r="CD130" s="289"/>
      <c r="CE130" s="289"/>
      <c r="CF130" s="289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6"/>
      <c r="CT130" s="6"/>
      <c r="CU130" s="6"/>
      <c r="CV130" s="6"/>
      <c r="CW130" s="6"/>
      <c r="CX130" s="6"/>
      <c r="CY130" s="6"/>
      <c r="CZ130" s="6"/>
      <c r="DA130" s="343">
        <f t="shared" si="5"/>
        <v>15.246</v>
      </c>
      <c r="DH130" s="238">
        <v>2.5</v>
      </c>
    </row>
    <row r="131" spans="1:112" ht="20" customHeight="1" x14ac:dyDescent="0.35">
      <c r="A131" s="301"/>
      <c r="B131" s="270" t="s">
        <v>1136</v>
      </c>
      <c r="C131" s="270" t="s">
        <v>1622</v>
      </c>
      <c r="D131" s="270" t="s">
        <v>627</v>
      </c>
      <c r="E131" s="270" t="s">
        <v>427</v>
      </c>
      <c r="F131" s="270" t="s">
        <v>1137</v>
      </c>
      <c r="G131" s="270" t="s">
        <v>44</v>
      </c>
      <c r="H131" s="298">
        <f>H130/1000*110</f>
        <v>1.67706</v>
      </c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94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7"/>
      <c r="AL131" s="288"/>
      <c r="AM131" s="287"/>
      <c r="AN131" s="287"/>
      <c r="AO131" s="287"/>
      <c r="AP131" s="286"/>
      <c r="AQ131" s="29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6"/>
      <c r="BY131" s="289"/>
      <c r="BZ131" s="289"/>
      <c r="CA131" s="289"/>
      <c r="CB131" s="289"/>
      <c r="CC131" s="289"/>
      <c r="CD131" s="289"/>
      <c r="CE131" s="289"/>
      <c r="CF131" s="289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6"/>
      <c r="CT131" s="6"/>
      <c r="CU131" s="6"/>
      <c r="CV131" s="6"/>
      <c r="CW131" s="6"/>
      <c r="CX131" s="6"/>
      <c r="CY131" s="6"/>
      <c r="CZ131" s="6"/>
      <c r="DA131" s="343">
        <f t="shared" si="5"/>
        <v>1.67706</v>
      </c>
      <c r="DH131" s="238">
        <v>4.5</v>
      </c>
    </row>
    <row r="132" spans="1:112" ht="20" customHeight="1" x14ac:dyDescent="0.35">
      <c r="A132" s="301"/>
      <c r="B132" s="270" t="s">
        <v>792</v>
      </c>
      <c r="C132" s="306" t="s">
        <v>1578</v>
      </c>
      <c r="D132" s="270"/>
      <c r="E132" s="270" t="s">
        <v>34</v>
      </c>
      <c r="F132" s="270" t="s">
        <v>552</v>
      </c>
      <c r="G132" s="270" t="s">
        <v>544</v>
      </c>
      <c r="H132" s="310">
        <f>78/20</f>
        <v>3.9</v>
      </c>
      <c r="I132" s="286"/>
      <c r="J132" s="292">
        <v>7</v>
      </c>
      <c r="K132" s="286"/>
      <c r="L132" s="286"/>
      <c r="M132" s="286"/>
      <c r="N132" s="286"/>
      <c r="O132" s="300">
        <v>6</v>
      </c>
      <c r="P132" s="286"/>
      <c r="Q132" s="286"/>
      <c r="R132" s="286"/>
      <c r="S132" s="286"/>
      <c r="T132" s="286">
        <v>7</v>
      </c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7"/>
      <c r="AL132" s="288"/>
      <c r="AM132" s="287"/>
      <c r="AN132" s="287"/>
      <c r="AO132" s="287"/>
      <c r="AP132" s="286"/>
      <c r="AQ132" s="29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7"/>
      <c r="BE132" s="287"/>
      <c r="BF132" s="287"/>
      <c r="BG132" s="288">
        <v>7</v>
      </c>
      <c r="BH132" s="287"/>
      <c r="BI132" s="287"/>
      <c r="BJ132" s="287"/>
      <c r="BK132" s="299">
        <v>10</v>
      </c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6"/>
      <c r="BY132" s="289"/>
      <c r="BZ132" s="289">
        <v>8</v>
      </c>
      <c r="CA132" s="289"/>
      <c r="CB132" s="289"/>
      <c r="CC132" s="289"/>
      <c r="CD132" s="289"/>
      <c r="CE132" s="289"/>
      <c r="CF132" s="289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6"/>
      <c r="CT132" s="6"/>
      <c r="CU132" s="6"/>
      <c r="CV132" s="6"/>
      <c r="CW132" s="6"/>
      <c r="CX132" s="6"/>
      <c r="CY132" s="6"/>
      <c r="CZ132" s="6"/>
      <c r="DA132" s="343">
        <f t="shared" si="5"/>
        <v>3.9</v>
      </c>
      <c r="DH132" s="238">
        <v>4.8</v>
      </c>
    </row>
    <row r="133" spans="1:112" ht="20" customHeight="1" x14ac:dyDescent="0.35">
      <c r="A133" s="301"/>
      <c r="B133" s="270" t="s">
        <v>793</v>
      </c>
      <c r="C133" s="306" t="s">
        <v>1623</v>
      </c>
      <c r="D133" s="270"/>
      <c r="E133" s="270" t="s">
        <v>795</v>
      </c>
      <c r="F133" s="270" t="s">
        <v>796</v>
      </c>
      <c r="G133" s="270"/>
      <c r="H133" s="310">
        <v>54</v>
      </c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7"/>
      <c r="AL133" s="288"/>
      <c r="AM133" s="287"/>
      <c r="AN133" s="287"/>
      <c r="AO133" s="287"/>
      <c r="AP133" s="286"/>
      <c r="AQ133" s="29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6"/>
      <c r="BY133" s="289"/>
      <c r="BZ133" s="289"/>
      <c r="CA133" s="289"/>
      <c r="CB133" s="289"/>
      <c r="CC133" s="289"/>
      <c r="CD133" s="289"/>
      <c r="CE133" s="289"/>
      <c r="CF133" s="289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6"/>
      <c r="CT133" s="6"/>
      <c r="CU133" s="6"/>
      <c r="CV133" s="6"/>
      <c r="CW133" s="6"/>
      <c r="CX133" s="6"/>
      <c r="CY133" s="6"/>
      <c r="CZ133" s="6"/>
      <c r="DA133" s="343">
        <f t="shared" si="5"/>
        <v>54</v>
      </c>
      <c r="DH133" s="238">
        <v>2.5</v>
      </c>
    </row>
    <row r="134" spans="1:112" ht="20" customHeight="1" x14ac:dyDescent="0.35">
      <c r="A134" s="301"/>
      <c r="B134" s="270" t="s">
        <v>794</v>
      </c>
      <c r="C134" s="306" t="s">
        <v>1623</v>
      </c>
      <c r="D134" s="270"/>
      <c r="E134" s="270" t="s">
        <v>795</v>
      </c>
      <c r="F134" s="270" t="s">
        <v>797</v>
      </c>
      <c r="G134" s="270"/>
      <c r="H134" s="310">
        <v>4.5</v>
      </c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7"/>
      <c r="AL134" s="288"/>
      <c r="AM134" s="287"/>
      <c r="AN134" s="287"/>
      <c r="AO134" s="287"/>
      <c r="AP134" s="286"/>
      <c r="AQ134" s="29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7"/>
      <c r="BE134" s="287"/>
      <c r="BF134" s="287"/>
      <c r="BG134" s="288">
        <v>7</v>
      </c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6"/>
      <c r="BY134" s="289"/>
      <c r="BZ134" s="289"/>
      <c r="CA134" s="289"/>
      <c r="CB134" s="289"/>
      <c r="CC134" s="289"/>
      <c r="CD134" s="289"/>
      <c r="CE134" s="289"/>
      <c r="CF134" s="289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6"/>
      <c r="CT134" s="6"/>
      <c r="CU134" s="6"/>
      <c r="CV134" s="6"/>
      <c r="CW134" s="6"/>
      <c r="CX134" s="6"/>
      <c r="CY134" s="6"/>
      <c r="CZ134" s="6"/>
      <c r="DA134" s="343">
        <f t="shared" si="5"/>
        <v>4.5</v>
      </c>
      <c r="DH134" s="238">
        <v>2.5</v>
      </c>
    </row>
    <row r="135" spans="1:112" ht="20" customHeight="1" x14ac:dyDescent="0.35">
      <c r="A135" s="301"/>
      <c r="B135" s="270" t="s">
        <v>798</v>
      </c>
      <c r="C135" s="270" t="s">
        <v>1624</v>
      </c>
      <c r="D135" s="270" t="s">
        <v>629</v>
      </c>
      <c r="E135" s="270" t="s">
        <v>34</v>
      </c>
      <c r="F135" s="270" t="s">
        <v>443</v>
      </c>
      <c r="G135" s="270" t="s">
        <v>544</v>
      </c>
      <c r="H135" s="310">
        <v>62</v>
      </c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7"/>
      <c r="AL135" s="288"/>
      <c r="AM135" s="287"/>
      <c r="AN135" s="287"/>
      <c r="AO135" s="287"/>
      <c r="AP135" s="286"/>
      <c r="AQ135" s="29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6"/>
      <c r="BY135" s="289"/>
      <c r="BZ135" s="289"/>
      <c r="CA135" s="289"/>
      <c r="CB135" s="289"/>
      <c r="CC135" s="289"/>
      <c r="CD135" s="289"/>
      <c r="CE135" s="289"/>
      <c r="CF135" s="289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6"/>
      <c r="CT135" s="6"/>
      <c r="CU135" s="6"/>
      <c r="CV135" s="6"/>
      <c r="CW135" s="6"/>
      <c r="CX135" s="6"/>
      <c r="CY135" s="6"/>
      <c r="CZ135" s="6"/>
      <c r="DA135" s="343">
        <f t="shared" si="5"/>
        <v>62</v>
      </c>
      <c r="DH135" s="238">
        <v>2.5</v>
      </c>
    </row>
    <row r="136" spans="1:112" ht="20" customHeight="1" x14ac:dyDescent="0.35">
      <c r="A136" s="301"/>
      <c r="B136" s="270" t="s">
        <v>799</v>
      </c>
      <c r="C136" s="270" t="s">
        <v>1624</v>
      </c>
      <c r="D136" s="270" t="s">
        <v>629</v>
      </c>
      <c r="E136" s="270" t="s">
        <v>800</v>
      </c>
      <c r="F136" s="270" t="s">
        <v>347</v>
      </c>
      <c r="G136" s="270" t="s">
        <v>39</v>
      </c>
      <c r="H136" s="298">
        <f>H135/25*3</f>
        <v>7.4399999999999995</v>
      </c>
      <c r="I136" s="286">
        <v>0</v>
      </c>
      <c r="J136" s="292">
        <v>10.5</v>
      </c>
      <c r="K136" s="286"/>
      <c r="L136" s="286"/>
      <c r="M136" s="286"/>
      <c r="N136" s="286"/>
      <c r="O136" s="286"/>
      <c r="P136" s="292">
        <v>10</v>
      </c>
      <c r="Q136" s="286">
        <v>10.5</v>
      </c>
      <c r="R136" s="286"/>
      <c r="S136" s="286">
        <v>10.5</v>
      </c>
      <c r="T136" s="286">
        <v>10.5</v>
      </c>
      <c r="U136" s="286"/>
      <c r="V136" s="294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>
        <v>10</v>
      </c>
      <c r="AK136" s="287"/>
      <c r="AL136" s="288"/>
      <c r="AM136" s="287"/>
      <c r="AN136" s="287"/>
      <c r="AO136" s="287"/>
      <c r="AP136" s="286"/>
      <c r="AQ136" s="296">
        <v>11</v>
      </c>
      <c r="AR136" s="286"/>
      <c r="AS136" s="286"/>
      <c r="AT136" s="286"/>
      <c r="AU136" s="286"/>
      <c r="AV136" s="286"/>
      <c r="AW136" s="286"/>
      <c r="AX136" s="286">
        <v>10.5</v>
      </c>
      <c r="AY136" s="286">
        <v>10.5</v>
      </c>
      <c r="AZ136" s="286">
        <v>10.5</v>
      </c>
      <c r="BA136" s="286">
        <v>10.5</v>
      </c>
      <c r="BB136" s="286">
        <v>10.5</v>
      </c>
      <c r="BC136" s="286">
        <v>10.5</v>
      </c>
      <c r="BD136" s="287"/>
      <c r="BE136" s="287"/>
      <c r="BF136" s="287"/>
      <c r="BG136" s="288">
        <v>10.5</v>
      </c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6">
        <f>J136</f>
        <v>10.5</v>
      </c>
      <c r="BY136" s="289"/>
      <c r="BZ136" s="289"/>
      <c r="CA136" s="289"/>
      <c r="CB136" s="289"/>
      <c r="CC136" s="289"/>
      <c r="CD136" s="289"/>
      <c r="CE136" s="289"/>
      <c r="CF136" s="289"/>
      <c r="CG136" s="287"/>
      <c r="CH136" s="287"/>
      <c r="CI136" s="287"/>
      <c r="CJ136" s="287"/>
      <c r="CK136" s="287"/>
      <c r="CL136" s="287"/>
      <c r="CM136" s="292">
        <v>10.5</v>
      </c>
      <c r="CN136" s="287"/>
      <c r="CO136" s="287"/>
      <c r="CP136" s="287"/>
      <c r="CQ136" s="287"/>
      <c r="CR136" s="292">
        <v>10.5</v>
      </c>
      <c r="CS136" s="6"/>
      <c r="CT136" s="6"/>
      <c r="CU136" s="6"/>
      <c r="CV136" s="6"/>
      <c r="CW136" s="6"/>
      <c r="CX136" s="6"/>
      <c r="CY136" s="6"/>
      <c r="CZ136" s="6"/>
      <c r="DA136" s="343">
        <f t="shared" si="5"/>
        <v>7.4399999999999995</v>
      </c>
      <c r="DH136" s="238">
        <v>4.2</v>
      </c>
    </row>
    <row r="137" spans="1:112" ht="20" customHeight="1" x14ac:dyDescent="0.35">
      <c r="A137" s="290">
        <v>520752</v>
      </c>
      <c r="B137" s="270" t="s">
        <v>801</v>
      </c>
      <c r="C137" s="270" t="s">
        <v>1624</v>
      </c>
      <c r="D137" s="297" t="s">
        <v>653</v>
      </c>
      <c r="E137" s="270" t="s">
        <v>800</v>
      </c>
      <c r="F137" s="270" t="s">
        <v>511</v>
      </c>
      <c r="G137" s="270" t="s">
        <v>39</v>
      </c>
      <c r="H137" s="298">
        <f>H135/25/1000*500*20</f>
        <v>24.8</v>
      </c>
      <c r="I137" s="292">
        <v>34</v>
      </c>
      <c r="J137" s="292">
        <v>32</v>
      </c>
      <c r="K137" s="286"/>
      <c r="L137" s="286"/>
      <c r="M137" s="286"/>
      <c r="N137" s="286"/>
      <c r="O137" s="292">
        <v>34</v>
      </c>
      <c r="P137" s="286"/>
      <c r="Q137" s="286"/>
      <c r="R137" s="286">
        <v>34</v>
      </c>
      <c r="S137" s="286"/>
      <c r="T137" s="286"/>
      <c r="U137" s="286"/>
      <c r="V137" s="294"/>
      <c r="W137" s="286"/>
      <c r="X137" s="286"/>
      <c r="Y137" s="286"/>
      <c r="Z137" s="286"/>
      <c r="AA137" s="286"/>
      <c r="AB137" s="286"/>
      <c r="AC137" s="286"/>
      <c r="AD137" s="286"/>
      <c r="AE137" s="300"/>
      <c r="AF137" s="286"/>
      <c r="AG137" s="286"/>
      <c r="AH137" s="286"/>
      <c r="AI137" s="286"/>
      <c r="AJ137" s="286"/>
      <c r="AK137" s="295">
        <v>33</v>
      </c>
      <c r="AL137" s="288"/>
      <c r="AM137" s="287"/>
      <c r="AN137" s="287"/>
      <c r="AO137" s="286">
        <v>32</v>
      </c>
      <c r="AP137" s="286">
        <v>32</v>
      </c>
      <c r="AQ137" s="296"/>
      <c r="AR137" s="286">
        <v>32</v>
      </c>
      <c r="AS137" s="286"/>
      <c r="AT137" s="286">
        <v>32</v>
      </c>
      <c r="AU137" s="286">
        <v>32</v>
      </c>
      <c r="AV137" s="286">
        <v>32</v>
      </c>
      <c r="AW137" s="286">
        <v>32</v>
      </c>
      <c r="AX137" s="286"/>
      <c r="AY137" s="286"/>
      <c r="AZ137" s="286">
        <v>32</v>
      </c>
      <c r="BA137" s="286"/>
      <c r="BB137" s="286"/>
      <c r="BC137" s="286"/>
      <c r="BD137" s="287"/>
      <c r="BE137" s="287"/>
      <c r="BF137" s="287"/>
      <c r="BG137" s="288">
        <v>35</v>
      </c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6">
        <v>32</v>
      </c>
      <c r="BY137" s="289"/>
      <c r="BZ137" s="289"/>
      <c r="CA137" s="289"/>
      <c r="CB137" s="289"/>
      <c r="CC137" s="289"/>
      <c r="CD137" s="289"/>
      <c r="CE137" s="289"/>
      <c r="CF137" s="289"/>
      <c r="CG137" s="287"/>
      <c r="CH137" s="287"/>
      <c r="CI137" s="287"/>
      <c r="CJ137" s="287"/>
      <c r="CK137" s="287"/>
      <c r="CL137" s="287"/>
      <c r="CM137" s="287"/>
      <c r="CN137" s="287"/>
      <c r="CO137" s="292">
        <v>32</v>
      </c>
      <c r="CP137" s="287"/>
      <c r="CQ137" s="287">
        <v>34</v>
      </c>
      <c r="CR137" s="287"/>
      <c r="CS137" s="288">
        <f>I137</f>
        <v>34</v>
      </c>
      <c r="CT137" s="6"/>
      <c r="CU137" s="6"/>
      <c r="CV137" s="6"/>
      <c r="CW137" s="6"/>
      <c r="CX137" s="6"/>
      <c r="CY137" s="6"/>
      <c r="CZ137" s="6"/>
      <c r="DA137" s="343">
        <f t="shared" si="5"/>
        <v>24.8</v>
      </c>
      <c r="DH137" s="237"/>
    </row>
    <row r="138" spans="1:112" ht="20" customHeight="1" x14ac:dyDescent="0.35">
      <c r="A138" s="290"/>
      <c r="B138" s="270" t="s">
        <v>802</v>
      </c>
      <c r="C138" s="270" t="s">
        <v>1624</v>
      </c>
      <c r="D138" s="297" t="s">
        <v>653</v>
      </c>
      <c r="E138" s="270" t="s">
        <v>800</v>
      </c>
      <c r="F138" s="270" t="s">
        <v>635</v>
      </c>
      <c r="G138" s="270" t="s">
        <v>39</v>
      </c>
      <c r="H138" s="298">
        <f>H135/25*4</f>
        <v>9.92</v>
      </c>
      <c r="I138" s="292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94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7"/>
      <c r="AL138" s="288"/>
      <c r="AM138" s="287"/>
      <c r="AN138" s="287"/>
      <c r="AO138" s="286"/>
      <c r="AP138" s="286"/>
      <c r="AQ138" s="29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6"/>
      <c r="BY138" s="289"/>
      <c r="BZ138" s="289"/>
      <c r="CA138" s="289"/>
      <c r="CB138" s="289"/>
      <c r="CC138" s="289"/>
      <c r="CD138" s="289"/>
      <c r="CE138" s="289"/>
      <c r="CF138" s="289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6"/>
      <c r="CT138" s="6"/>
      <c r="CU138" s="6"/>
      <c r="CV138" s="6"/>
      <c r="CW138" s="6"/>
      <c r="CX138" s="6"/>
      <c r="CY138" s="6"/>
      <c r="CZ138" s="6"/>
      <c r="DA138" s="343">
        <f t="shared" si="5"/>
        <v>9.92</v>
      </c>
      <c r="DH138" s="237"/>
    </row>
    <row r="139" spans="1:112" ht="20" customHeight="1" x14ac:dyDescent="0.35">
      <c r="A139" s="290"/>
      <c r="B139" s="270" t="s">
        <v>1258</v>
      </c>
      <c r="C139" s="270" t="s">
        <v>1624</v>
      </c>
      <c r="D139" s="297" t="s">
        <v>653</v>
      </c>
      <c r="E139" s="270" t="s">
        <v>800</v>
      </c>
      <c r="F139" s="270" t="s">
        <v>1723</v>
      </c>
      <c r="G139" s="270" t="s">
        <v>38</v>
      </c>
      <c r="H139" s="298">
        <f>531/5/25000*200</f>
        <v>0.84960000000000002</v>
      </c>
      <c r="I139" s="292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94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7"/>
      <c r="AL139" s="288"/>
      <c r="AM139" s="287"/>
      <c r="AN139" s="287"/>
      <c r="AO139" s="286"/>
      <c r="AP139" s="286"/>
      <c r="AQ139" s="296">
        <v>1.2</v>
      </c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6"/>
      <c r="BY139" s="289"/>
      <c r="BZ139" s="289"/>
      <c r="CA139" s="289"/>
      <c r="CB139" s="289"/>
      <c r="CC139" s="289"/>
      <c r="CD139" s="289"/>
      <c r="CE139" s="289"/>
      <c r="CF139" s="289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6"/>
      <c r="CT139" s="6"/>
      <c r="CU139" s="6"/>
      <c r="CV139" s="6"/>
      <c r="CW139" s="6"/>
      <c r="CX139" s="6"/>
      <c r="CY139" s="6"/>
      <c r="CZ139" s="6"/>
      <c r="DA139" s="343">
        <f t="shared" si="5"/>
        <v>0.84960000000000002</v>
      </c>
      <c r="DH139" s="237"/>
    </row>
    <row r="140" spans="1:112" ht="20" customHeight="1" x14ac:dyDescent="0.35">
      <c r="A140" s="290"/>
      <c r="B140" s="270"/>
      <c r="C140" s="270"/>
      <c r="D140" s="297"/>
      <c r="E140" s="270"/>
      <c r="F140" s="270"/>
      <c r="G140" s="270"/>
      <c r="H140" s="298"/>
      <c r="I140" s="292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94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7"/>
      <c r="AL140" s="288"/>
      <c r="AM140" s="287"/>
      <c r="AN140" s="287"/>
      <c r="AO140" s="286"/>
      <c r="AP140" s="286"/>
      <c r="AQ140" s="29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6"/>
      <c r="BY140" s="289"/>
      <c r="BZ140" s="289"/>
      <c r="CA140" s="289"/>
      <c r="CB140" s="289"/>
      <c r="CC140" s="289"/>
      <c r="CD140" s="289"/>
      <c r="CE140" s="289"/>
      <c r="CF140" s="289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6"/>
      <c r="CT140" s="6"/>
      <c r="CU140" s="6"/>
      <c r="CV140" s="6"/>
      <c r="CW140" s="6"/>
      <c r="CX140" s="6"/>
      <c r="CY140" s="6"/>
      <c r="CZ140" s="6"/>
      <c r="DA140" s="343">
        <f t="shared" si="5"/>
        <v>0</v>
      </c>
      <c r="DH140" s="237"/>
    </row>
    <row r="141" spans="1:112" ht="20" customHeight="1" x14ac:dyDescent="0.35">
      <c r="A141" s="301"/>
      <c r="B141" s="270" t="s">
        <v>803</v>
      </c>
      <c r="C141" s="270" t="s">
        <v>1624</v>
      </c>
      <c r="D141" s="270" t="s">
        <v>655</v>
      </c>
      <c r="E141" s="270" t="s">
        <v>519</v>
      </c>
      <c r="F141" s="270" t="s">
        <v>431</v>
      </c>
      <c r="G141" s="270" t="s">
        <v>33</v>
      </c>
      <c r="H141" s="298">
        <v>31.5</v>
      </c>
      <c r="I141" s="286"/>
      <c r="J141" s="300"/>
      <c r="K141" s="286"/>
      <c r="L141" s="286"/>
      <c r="M141" s="286"/>
      <c r="N141" s="286"/>
      <c r="O141" s="286"/>
      <c r="P141" s="292">
        <v>40</v>
      </c>
      <c r="Q141" s="286"/>
      <c r="R141" s="286"/>
      <c r="S141" s="286"/>
      <c r="T141" s="300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7"/>
      <c r="AL141" s="288"/>
      <c r="AM141" s="287"/>
      <c r="AN141" s="287"/>
      <c r="AO141" s="287"/>
      <c r="AP141" s="286"/>
      <c r="AQ141" s="29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6"/>
      <c r="BY141" s="289"/>
      <c r="BZ141" s="289"/>
      <c r="CA141" s="289"/>
      <c r="CB141" s="289"/>
      <c r="CC141" s="289"/>
      <c r="CD141" s="289"/>
      <c r="CE141" s="289"/>
      <c r="CF141" s="289"/>
      <c r="CG141" s="305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6"/>
      <c r="CT141" s="6"/>
      <c r="CU141" s="6"/>
      <c r="CV141" s="6"/>
      <c r="CW141" s="6"/>
      <c r="CX141" s="6"/>
      <c r="CY141" s="6"/>
      <c r="CZ141" s="6"/>
      <c r="DA141" s="343">
        <f t="shared" si="5"/>
        <v>31.5</v>
      </c>
      <c r="DH141" s="237"/>
    </row>
    <row r="142" spans="1:112" ht="20" customHeight="1" x14ac:dyDescent="0.35">
      <c r="A142" s="301"/>
      <c r="B142" s="270" t="s">
        <v>804</v>
      </c>
      <c r="C142" s="270" t="s">
        <v>1625</v>
      </c>
      <c r="D142" s="270" t="s">
        <v>34</v>
      </c>
      <c r="E142" s="270" t="s">
        <v>1507</v>
      </c>
      <c r="F142" s="270" t="s">
        <v>1508</v>
      </c>
      <c r="G142" s="270" t="s">
        <v>225</v>
      </c>
      <c r="H142" s="298">
        <f>152/6</f>
        <v>25.333333333333332</v>
      </c>
      <c r="I142" s="286"/>
      <c r="J142" s="292">
        <v>33</v>
      </c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7"/>
      <c r="AL142" s="288"/>
      <c r="AM142" s="287"/>
      <c r="AN142" s="287"/>
      <c r="AO142" s="287"/>
      <c r="AP142" s="286"/>
      <c r="AQ142" s="29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>
        <v>33</v>
      </c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6"/>
      <c r="BY142" s="289"/>
      <c r="BZ142" s="289"/>
      <c r="CA142" s="289"/>
      <c r="CB142" s="289"/>
      <c r="CC142" s="289"/>
      <c r="CD142" s="289"/>
      <c r="CE142" s="289"/>
      <c r="CF142" s="289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6"/>
      <c r="CT142" s="6"/>
      <c r="CU142" s="6"/>
      <c r="CV142" s="6"/>
      <c r="CW142" s="6"/>
      <c r="CX142" s="6"/>
      <c r="CY142" s="6"/>
      <c r="CZ142" s="6"/>
      <c r="DA142" s="343">
        <f t="shared" si="5"/>
        <v>25.333333333333332</v>
      </c>
      <c r="DH142" s="237"/>
    </row>
    <row r="143" spans="1:112" ht="20" customHeight="1" x14ac:dyDescent="0.35">
      <c r="A143" s="290"/>
      <c r="B143" s="270" t="s">
        <v>805</v>
      </c>
      <c r="C143" s="270" t="s">
        <v>1624</v>
      </c>
      <c r="D143" s="297" t="s">
        <v>358</v>
      </c>
      <c r="E143" s="270" t="s">
        <v>630</v>
      </c>
      <c r="F143" s="270" t="s">
        <v>431</v>
      </c>
      <c r="G143" s="270" t="s">
        <v>33</v>
      </c>
      <c r="H143" s="298">
        <v>29</v>
      </c>
      <c r="I143" s="292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94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95"/>
      <c r="AL143" s="288"/>
      <c r="AM143" s="287"/>
      <c r="AN143" s="287"/>
      <c r="AO143" s="287"/>
      <c r="AP143" s="286"/>
      <c r="AQ143" s="296"/>
      <c r="AR143" s="286"/>
      <c r="AS143" s="286"/>
      <c r="AT143" s="286"/>
      <c r="AU143" s="286"/>
      <c r="AV143" s="286"/>
      <c r="AW143" s="286">
        <v>30</v>
      </c>
      <c r="AX143" s="286"/>
      <c r="AY143" s="286"/>
      <c r="AZ143" s="286"/>
      <c r="BA143" s="286"/>
      <c r="BB143" s="286"/>
      <c r="BC143" s="286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6"/>
      <c r="BY143" s="289"/>
      <c r="BZ143" s="289"/>
      <c r="CA143" s="289"/>
      <c r="CB143" s="289"/>
      <c r="CC143" s="289"/>
      <c r="CD143" s="289"/>
      <c r="CE143" s="289"/>
      <c r="CF143" s="289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8">
        <f>I143</f>
        <v>0</v>
      </c>
      <c r="CT143" s="6"/>
      <c r="CU143" s="6"/>
      <c r="CV143" s="6"/>
      <c r="CW143" s="6"/>
      <c r="CX143" s="6"/>
      <c r="CY143" s="6"/>
      <c r="CZ143" s="6"/>
      <c r="DA143" s="343">
        <f t="shared" si="5"/>
        <v>29</v>
      </c>
      <c r="DH143" s="237"/>
    </row>
    <row r="144" spans="1:112" ht="20" customHeight="1" x14ac:dyDescent="0.35">
      <c r="A144" s="290"/>
      <c r="B144" s="270" t="s">
        <v>806</v>
      </c>
      <c r="C144" s="270" t="s">
        <v>1328</v>
      </c>
      <c r="D144" s="297" t="s">
        <v>629</v>
      </c>
      <c r="E144" s="270" t="s">
        <v>34</v>
      </c>
      <c r="F144" s="270" t="s">
        <v>443</v>
      </c>
      <c r="G144" s="270" t="s">
        <v>44</v>
      </c>
      <c r="H144" s="298">
        <v>120</v>
      </c>
      <c r="I144" s="292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94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>
        <v>150</v>
      </c>
      <c r="AH144" s="286"/>
      <c r="AI144" s="286"/>
      <c r="AJ144" s="286"/>
      <c r="AK144" s="287"/>
      <c r="AL144" s="288"/>
      <c r="AM144" s="287"/>
      <c r="AN144" s="287"/>
      <c r="AO144" s="287"/>
      <c r="AP144" s="286"/>
      <c r="AQ144" s="29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6"/>
      <c r="BY144" s="289"/>
      <c r="BZ144" s="289"/>
      <c r="CA144" s="289"/>
      <c r="CB144" s="289"/>
      <c r="CC144" s="289"/>
      <c r="CD144" s="289"/>
      <c r="CE144" s="289"/>
      <c r="CF144" s="289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6"/>
      <c r="CT144" s="6"/>
      <c r="CU144" s="6"/>
      <c r="CV144" s="6"/>
      <c r="CW144" s="6"/>
      <c r="CX144" s="6"/>
      <c r="CY144" s="6"/>
      <c r="CZ144" s="6"/>
      <c r="DA144" s="343">
        <f t="shared" si="5"/>
        <v>120</v>
      </c>
      <c r="DH144" s="237"/>
    </row>
    <row r="145" spans="1:112" ht="20" customHeight="1" x14ac:dyDescent="0.35">
      <c r="A145" s="290"/>
      <c r="B145" s="270" t="s">
        <v>807</v>
      </c>
      <c r="C145" s="270" t="s">
        <v>1328</v>
      </c>
      <c r="D145" s="297" t="s">
        <v>629</v>
      </c>
      <c r="E145" s="270" t="s">
        <v>34</v>
      </c>
      <c r="F145" s="270" t="s">
        <v>66</v>
      </c>
      <c r="G145" s="270" t="s">
        <v>44</v>
      </c>
      <c r="H145" s="298">
        <f>H144/25</f>
        <v>4.8</v>
      </c>
      <c r="I145" s="292"/>
      <c r="J145" s="286"/>
      <c r="K145" s="286"/>
      <c r="L145" s="286"/>
      <c r="M145" s="286"/>
      <c r="N145" s="286"/>
      <c r="O145" s="286">
        <v>6.5</v>
      </c>
      <c r="P145" s="286"/>
      <c r="Q145" s="286"/>
      <c r="R145" s="286"/>
      <c r="S145" s="286"/>
      <c r="T145" s="286"/>
      <c r="U145" s="286"/>
      <c r="V145" s="294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>
        <v>6.5</v>
      </c>
      <c r="AH145" s="286"/>
      <c r="AI145" s="286"/>
      <c r="AJ145" s="286"/>
      <c r="AK145" s="287"/>
      <c r="AL145" s="288"/>
      <c r="AM145" s="287"/>
      <c r="AN145" s="287"/>
      <c r="AO145" s="287"/>
      <c r="AP145" s="286"/>
      <c r="AQ145" s="29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7"/>
      <c r="BE145" s="287"/>
      <c r="BF145" s="287"/>
      <c r="BG145" s="288">
        <v>6.5</v>
      </c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6"/>
      <c r="BY145" s="289"/>
      <c r="BZ145" s="289"/>
      <c r="CA145" s="289"/>
      <c r="CB145" s="289"/>
      <c r="CC145" s="289"/>
      <c r="CD145" s="289"/>
      <c r="CE145" s="289"/>
      <c r="CF145" s="289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6"/>
      <c r="CT145" s="6"/>
      <c r="CU145" s="6"/>
      <c r="CV145" s="6"/>
      <c r="CW145" s="6"/>
      <c r="CX145" s="6"/>
      <c r="CY145" s="6"/>
      <c r="CZ145" s="6"/>
      <c r="DA145" s="343">
        <f t="shared" si="5"/>
        <v>4.8</v>
      </c>
      <c r="DH145" s="237"/>
    </row>
    <row r="146" spans="1:112" ht="20" customHeight="1" x14ac:dyDescent="0.35">
      <c r="A146" s="290"/>
      <c r="B146" s="270" t="s">
        <v>808</v>
      </c>
      <c r="C146" s="270" t="s">
        <v>242</v>
      </c>
      <c r="D146" s="297" t="s">
        <v>655</v>
      </c>
      <c r="E146" s="270" t="s">
        <v>519</v>
      </c>
      <c r="F146" s="270" t="s">
        <v>443</v>
      </c>
      <c r="G146" s="270" t="s">
        <v>39</v>
      </c>
      <c r="H146" s="298">
        <v>25.5</v>
      </c>
      <c r="I146" s="292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94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7"/>
      <c r="AL146" s="288"/>
      <c r="AM146" s="287"/>
      <c r="AN146" s="287"/>
      <c r="AO146" s="287"/>
      <c r="AP146" s="286"/>
      <c r="AQ146" s="29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6"/>
      <c r="BY146" s="289"/>
      <c r="BZ146" s="289"/>
      <c r="CA146" s="289"/>
      <c r="CB146" s="289"/>
      <c r="CC146" s="289"/>
      <c r="CD146" s="289"/>
      <c r="CE146" s="289"/>
      <c r="CF146" s="289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6"/>
      <c r="CT146" s="6"/>
      <c r="CU146" s="6"/>
      <c r="CV146" s="6"/>
      <c r="CW146" s="6"/>
      <c r="CX146" s="6"/>
      <c r="CY146" s="6"/>
      <c r="CZ146" s="6"/>
      <c r="DA146" s="343">
        <f t="shared" si="5"/>
        <v>25.5</v>
      </c>
      <c r="DH146" s="237"/>
    </row>
    <row r="147" spans="1:112" ht="20" customHeight="1" x14ac:dyDescent="0.35">
      <c r="A147" s="290"/>
      <c r="B147" s="270" t="s">
        <v>809</v>
      </c>
      <c r="C147" s="270" t="s">
        <v>242</v>
      </c>
      <c r="D147" s="297" t="s">
        <v>655</v>
      </c>
      <c r="E147" s="270" t="s">
        <v>519</v>
      </c>
      <c r="F147" s="270" t="s">
        <v>686</v>
      </c>
      <c r="G147" s="270" t="s">
        <v>39</v>
      </c>
      <c r="H147" s="298">
        <v>31</v>
      </c>
      <c r="I147" s="292"/>
      <c r="J147" s="286"/>
      <c r="K147" s="286"/>
      <c r="L147" s="286"/>
      <c r="M147" s="286"/>
      <c r="N147" s="286"/>
      <c r="O147" s="286">
        <v>41</v>
      </c>
      <c r="P147" s="286"/>
      <c r="Q147" s="286"/>
      <c r="R147" s="286"/>
      <c r="S147" s="286"/>
      <c r="T147" s="286"/>
      <c r="U147" s="286"/>
      <c r="V147" s="294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7"/>
      <c r="AL147" s="288"/>
      <c r="AM147" s="287"/>
      <c r="AN147" s="287"/>
      <c r="AO147" s="287"/>
      <c r="AP147" s="286"/>
      <c r="AQ147" s="29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6"/>
      <c r="BY147" s="289"/>
      <c r="BZ147" s="289"/>
      <c r="CA147" s="289"/>
      <c r="CB147" s="289"/>
      <c r="CC147" s="289"/>
      <c r="CD147" s="289"/>
      <c r="CE147" s="289"/>
      <c r="CF147" s="289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6"/>
      <c r="CT147" s="6"/>
      <c r="CU147" s="6"/>
      <c r="CV147" s="6"/>
      <c r="CW147" s="6"/>
      <c r="CX147" s="6"/>
      <c r="CY147" s="6"/>
      <c r="CZ147" s="6"/>
      <c r="DA147" s="343">
        <f t="shared" si="5"/>
        <v>31</v>
      </c>
      <c r="DH147" s="237"/>
    </row>
    <row r="148" spans="1:112" ht="20" customHeight="1" x14ac:dyDescent="0.35">
      <c r="A148" s="290"/>
      <c r="B148" s="270" t="s">
        <v>810</v>
      </c>
      <c r="C148" s="270" t="s">
        <v>242</v>
      </c>
      <c r="D148" s="297" t="s">
        <v>655</v>
      </c>
      <c r="E148" s="270" t="s">
        <v>519</v>
      </c>
      <c r="F148" s="270" t="s">
        <v>1837</v>
      </c>
      <c r="G148" s="270" t="s">
        <v>39</v>
      </c>
      <c r="H148" s="298">
        <f>H147/50</f>
        <v>0.62</v>
      </c>
      <c r="I148" s="292">
        <v>0.9</v>
      </c>
      <c r="J148" s="292">
        <v>0.8</v>
      </c>
      <c r="K148" s="286"/>
      <c r="L148" s="286"/>
      <c r="M148" s="286"/>
      <c r="N148" s="292">
        <v>0.9</v>
      </c>
      <c r="O148" s="286">
        <v>0.9</v>
      </c>
      <c r="P148" s="292">
        <v>0.9</v>
      </c>
      <c r="Q148" s="286"/>
      <c r="R148" s="286">
        <v>0.9</v>
      </c>
      <c r="S148" s="286"/>
      <c r="T148" s="286">
        <v>0.8</v>
      </c>
      <c r="U148" s="286"/>
      <c r="V148" s="294"/>
      <c r="W148" s="286"/>
      <c r="X148" s="286"/>
      <c r="Y148" s="286"/>
      <c r="Z148" s="286"/>
      <c r="AA148" s="286"/>
      <c r="AB148" s="286"/>
      <c r="AC148" s="286"/>
      <c r="AD148" s="286">
        <v>0.8</v>
      </c>
      <c r="AE148" s="286"/>
      <c r="AF148" s="286"/>
      <c r="AG148" s="286"/>
      <c r="AH148" s="286"/>
      <c r="AI148" s="286"/>
      <c r="AJ148" s="286"/>
      <c r="AK148" s="287"/>
      <c r="AL148" s="288"/>
      <c r="AM148" s="287"/>
      <c r="AN148" s="287"/>
      <c r="AO148" s="286">
        <v>0.8</v>
      </c>
      <c r="AP148" s="286">
        <v>0.8</v>
      </c>
      <c r="AQ148" s="296">
        <v>0.95</v>
      </c>
      <c r="AR148" s="286">
        <v>0.8</v>
      </c>
      <c r="AS148" s="286"/>
      <c r="AT148" s="286">
        <v>0.8</v>
      </c>
      <c r="AU148" s="286">
        <v>0.8</v>
      </c>
      <c r="AV148" s="286">
        <v>0.8</v>
      </c>
      <c r="AW148" s="286"/>
      <c r="AX148" s="286">
        <v>0.8</v>
      </c>
      <c r="AY148" s="286">
        <v>0.8</v>
      </c>
      <c r="AZ148" s="286">
        <v>0.8</v>
      </c>
      <c r="BA148" s="286">
        <v>0.8</v>
      </c>
      <c r="BB148" s="286">
        <f>BA148</f>
        <v>0.8</v>
      </c>
      <c r="BC148" s="286">
        <v>0.8</v>
      </c>
      <c r="BD148" s="287"/>
      <c r="BE148" s="287"/>
      <c r="BF148" s="287"/>
      <c r="BG148" s="288">
        <v>0.85</v>
      </c>
      <c r="BH148" s="287">
        <v>0.8</v>
      </c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6"/>
      <c r="BY148" s="289"/>
      <c r="BZ148" s="289">
        <v>0.8</v>
      </c>
      <c r="CA148" s="289"/>
      <c r="CB148" s="289"/>
      <c r="CC148" s="289"/>
      <c r="CD148" s="289"/>
      <c r="CE148" s="289"/>
      <c r="CF148" s="289"/>
      <c r="CG148" s="287"/>
      <c r="CH148" s="287"/>
      <c r="CI148" s="287"/>
      <c r="CJ148" s="287"/>
      <c r="CK148" s="287"/>
      <c r="CL148" s="287"/>
      <c r="CM148" s="287"/>
      <c r="CN148" s="292">
        <v>0.8</v>
      </c>
      <c r="CO148" s="287"/>
      <c r="CP148" s="287"/>
      <c r="CQ148" s="287">
        <v>0.9</v>
      </c>
      <c r="CR148" s="287"/>
      <c r="CS148" s="288">
        <f>I148</f>
        <v>0.9</v>
      </c>
      <c r="CT148" s="6"/>
      <c r="CU148" s="6"/>
      <c r="CV148" s="6"/>
      <c r="CW148" s="6"/>
      <c r="CX148" s="6"/>
      <c r="CY148" s="6"/>
      <c r="CZ148" s="6"/>
      <c r="DA148" s="343">
        <f t="shared" si="5"/>
        <v>0.62</v>
      </c>
      <c r="DH148" s="237"/>
    </row>
    <row r="149" spans="1:112" ht="20" customHeight="1" x14ac:dyDescent="0.35">
      <c r="A149" s="290"/>
      <c r="B149" s="270" t="s">
        <v>811</v>
      </c>
      <c r="C149" s="270" t="s">
        <v>259</v>
      </c>
      <c r="D149" s="297" t="s">
        <v>653</v>
      </c>
      <c r="E149" s="270" t="s">
        <v>388</v>
      </c>
      <c r="F149" s="270" t="s">
        <v>1836</v>
      </c>
      <c r="G149" s="270" t="s">
        <v>33</v>
      </c>
      <c r="H149" s="298">
        <v>33.6</v>
      </c>
      <c r="I149" s="292">
        <v>40</v>
      </c>
      <c r="J149" s="292">
        <v>41</v>
      </c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94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7"/>
      <c r="AL149" s="288"/>
      <c r="AM149" s="287"/>
      <c r="AN149" s="287"/>
      <c r="AO149" s="286">
        <v>41</v>
      </c>
      <c r="AP149" s="286">
        <v>41</v>
      </c>
      <c r="AQ149" s="296"/>
      <c r="AR149" s="286">
        <v>41</v>
      </c>
      <c r="AS149" s="286"/>
      <c r="AT149" s="286">
        <v>41</v>
      </c>
      <c r="AU149" s="286">
        <v>41</v>
      </c>
      <c r="AV149" s="286">
        <v>41</v>
      </c>
      <c r="AW149" s="286"/>
      <c r="AX149" s="286">
        <v>41</v>
      </c>
      <c r="AY149" s="286"/>
      <c r="AZ149" s="286">
        <v>41</v>
      </c>
      <c r="BA149" s="286"/>
      <c r="BB149" s="286"/>
      <c r="BC149" s="286">
        <v>41</v>
      </c>
      <c r="BD149" s="287"/>
      <c r="BE149" s="287"/>
      <c r="BF149" s="287"/>
      <c r="BG149" s="288">
        <v>40</v>
      </c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6"/>
      <c r="BY149" s="289"/>
      <c r="BZ149" s="289">
        <v>0</v>
      </c>
      <c r="CA149" s="289"/>
      <c r="CB149" s="289"/>
      <c r="CC149" s="289"/>
      <c r="CD149" s="289"/>
      <c r="CE149" s="289"/>
      <c r="CF149" s="289"/>
      <c r="CG149" s="287"/>
      <c r="CH149" s="287"/>
      <c r="CI149" s="287"/>
      <c r="CJ149" s="287"/>
      <c r="CK149" s="287"/>
      <c r="CL149" s="287"/>
      <c r="CM149" s="287"/>
      <c r="CN149" s="287"/>
      <c r="CO149" s="292">
        <v>41</v>
      </c>
      <c r="CP149" s="287"/>
      <c r="CQ149" s="287">
        <v>42</v>
      </c>
      <c r="CR149" s="287"/>
      <c r="CS149" s="288">
        <f>I149</f>
        <v>40</v>
      </c>
      <c r="CT149" s="6"/>
      <c r="CU149" s="6"/>
      <c r="CV149" s="6"/>
      <c r="CW149" s="6"/>
      <c r="CX149" s="6"/>
      <c r="CY149" s="6"/>
      <c r="CZ149" s="6"/>
      <c r="DA149" s="343">
        <f t="shared" si="5"/>
        <v>33.6</v>
      </c>
      <c r="DH149" s="237"/>
    </row>
    <row r="150" spans="1:112" ht="20" customHeight="1" x14ac:dyDescent="0.35">
      <c r="A150" s="290"/>
      <c r="B150" s="270" t="s">
        <v>812</v>
      </c>
      <c r="C150" s="270" t="s">
        <v>259</v>
      </c>
      <c r="D150" s="297" t="s">
        <v>655</v>
      </c>
      <c r="E150" s="270" t="s">
        <v>388</v>
      </c>
      <c r="F150" s="270" t="s">
        <v>636</v>
      </c>
      <c r="G150" s="270" t="s">
        <v>39</v>
      </c>
      <c r="H150" s="298">
        <v>11.7</v>
      </c>
      <c r="I150" s="292">
        <v>14</v>
      </c>
      <c r="J150" s="286"/>
      <c r="K150" s="286"/>
      <c r="L150" s="286"/>
      <c r="M150" s="286"/>
      <c r="N150" s="286"/>
      <c r="O150" s="286"/>
      <c r="P150" s="292">
        <v>18.5</v>
      </c>
      <c r="Q150" s="286"/>
      <c r="R150" s="286"/>
      <c r="S150" s="286"/>
      <c r="T150" s="286"/>
      <c r="U150" s="286"/>
      <c r="V150" s="294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95"/>
      <c r="AL150" s="288"/>
      <c r="AM150" s="287"/>
      <c r="AN150" s="287"/>
      <c r="AO150" s="287"/>
      <c r="AP150" s="286"/>
      <c r="AQ150" s="29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7"/>
      <c r="BE150" s="287"/>
      <c r="BF150" s="287"/>
      <c r="BG150" s="288">
        <v>15</v>
      </c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6"/>
      <c r="BY150" s="289"/>
      <c r="BZ150" s="289"/>
      <c r="CA150" s="289"/>
      <c r="CB150" s="289"/>
      <c r="CC150" s="289"/>
      <c r="CD150" s="289"/>
      <c r="CE150" s="289"/>
      <c r="CF150" s="289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>
        <v>14</v>
      </c>
      <c r="CR150" s="287"/>
      <c r="CS150" s="288">
        <f>I150</f>
        <v>14</v>
      </c>
      <c r="CT150" s="6"/>
      <c r="CU150" s="6"/>
      <c r="CV150" s="6"/>
      <c r="CW150" s="6"/>
      <c r="CX150" s="6"/>
      <c r="CY150" s="6"/>
      <c r="CZ150" s="6"/>
      <c r="DA150" s="343">
        <f t="shared" si="5"/>
        <v>11.7</v>
      </c>
      <c r="DH150" s="237"/>
    </row>
    <row r="151" spans="1:112" ht="20" customHeight="1" x14ac:dyDescent="0.35">
      <c r="A151" s="290"/>
      <c r="B151" s="270" t="s">
        <v>814</v>
      </c>
      <c r="C151" s="270" t="s">
        <v>259</v>
      </c>
      <c r="D151" s="297" t="s">
        <v>655</v>
      </c>
      <c r="E151" s="270" t="s">
        <v>813</v>
      </c>
      <c r="F151" s="270" t="s">
        <v>1835</v>
      </c>
      <c r="G151" s="270" t="s">
        <v>39</v>
      </c>
      <c r="H151" s="298">
        <v>40</v>
      </c>
      <c r="I151" s="292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94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7"/>
      <c r="AL151" s="288"/>
      <c r="AM151" s="287"/>
      <c r="AN151" s="287"/>
      <c r="AO151" s="287"/>
      <c r="AP151" s="286"/>
      <c r="AQ151" s="296"/>
      <c r="AR151" s="286"/>
      <c r="AS151" s="286"/>
      <c r="AT151" s="28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6"/>
      <c r="BY151" s="289"/>
      <c r="BZ151" s="289"/>
      <c r="CA151" s="289"/>
      <c r="CB151" s="289"/>
      <c r="CC151" s="289"/>
      <c r="CD151" s="289"/>
      <c r="CE151" s="289"/>
      <c r="CF151" s="289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6"/>
      <c r="CT151" s="6"/>
      <c r="CU151" s="6"/>
      <c r="CV151" s="6"/>
      <c r="CW151" s="6"/>
      <c r="CX151" s="6"/>
      <c r="CY151" s="6"/>
      <c r="CZ151" s="6"/>
      <c r="DA151" s="343">
        <f t="shared" si="5"/>
        <v>40</v>
      </c>
      <c r="DH151" s="237"/>
    </row>
    <row r="152" spans="1:112" ht="20" customHeight="1" x14ac:dyDescent="0.35">
      <c r="A152" s="290"/>
      <c r="B152" s="270" t="s">
        <v>815</v>
      </c>
      <c r="C152" s="270" t="s">
        <v>259</v>
      </c>
      <c r="D152" s="297" t="s">
        <v>655</v>
      </c>
      <c r="E152" s="270" t="s">
        <v>800</v>
      </c>
      <c r="F152" s="270" t="s">
        <v>636</v>
      </c>
      <c r="G152" s="270" t="s">
        <v>39</v>
      </c>
      <c r="H152" s="298">
        <f>H151/25*5</f>
        <v>8</v>
      </c>
      <c r="I152" s="292">
        <v>13</v>
      </c>
      <c r="J152" s="292">
        <v>13</v>
      </c>
      <c r="K152" s="286"/>
      <c r="L152" s="286"/>
      <c r="M152" s="286"/>
      <c r="N152" s="286"/>
      <c r="O152" s="286"/>
      <c r="P152" s="286"/>
      <c r="Q152" s="286">
        <v>13</v>
      </c>
      <c r="R152" s="286"/>
      <c r="S152" s="286">
        <v>13</v>
      </c>
      <c r="T152" s="286">
        <v>13</v>
      </c>
      <c r="U152" s="286"/>
      <c r="V152" s="294"/>
      <c r="W152" s="286"/>
      <c r="X152" s="286"/>
      <c r="Y152" s="286"/>
      <c r="Z152" s="286"/>
      <c r="AA152" s="286"/>
      <c r="AB152" s="286"/>
      <c r="AC152" s="286">
        <v>13.5</v>
      </c>
      <c r="AD152" s="286"/>
      <c r="AE152" s="286"/>
      <c r="AF152" s="286"/>
      <c r="AG152" s="286"/>
      <c r="AH152" s="286"/>
      <c r="AI152" s="286"/>
      <c r="AJ152" s="286">
        <v>12</v>
      </c>
      <c r="AK152" s="295">
        <v>13</v>
      </c>
      <c r="AL152" s="286">
        <v>13</v>
      </c>
      <c r="AM152" s="287"/>
      <c r="AN152" s="287"/>
      <c r="AO152" s="287"/>
      <c r="AP152" s="286"/>
      <c r="AQ152" s="296">
        <v>12</v>
      </c>
      <c r="AR152" s="286"/>
      <c r="AS152" s="286"/>
      <c r="AT152" s="286"/>
      <c r="AU152" s="286"/>
      <c r="AV152" s="286"/>
      <c r="AW152" s="286">
        <v>13</v>
      </c>
      <c r="AX152" s="286"/>
      <c r="AY152" s="286">
        <v>13</v>
      </c>
      <c r="AZ152" s="286"/>
      <c r="BA152" s="286">
        <v>13</v>
      </c>
      <c r="BB152" s="286">
        <v>13</v>
      </c>
      <c r="BC152" s="286">
        <v>13</v>
      </c>
      <c r="BD152" s="287"/>
      <c r="BE152" s="287"/>
      <c r="BF152" s="287"/>
      <c r="BG152" s="288">
        <v>13.5</v>
      </c>
      <c r="BH152" s="286">
        <v>13</v>
      </c>
      <c r="BI152" s="287"/>
      <c r="BJ152" s="287"/>
      <c r="BK152" s="287">
        <v>14</v>
      </c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6">
        <f>J152</f>
        <v>13</v>
      </c>
      <c r="BY152" s="289"/>
      <c r="BZ152" s="289"/>
      <c r="CA152" s="289"/>
      <c r="CB152" s="289"/>
      <c r="CC152" s="289"/>
      <c r="CD152" s="289"/>
      <c r="CE152" s="289"/>
      <c r="CF152" s="289"/>
      <c r="CG152" s="287"/>
      <c r="CH152" s="287"/>
      <c r="CI152" s="287"/>
      <c r="CJ152" s="287"/>
      <c r="CK152" s="287"/>
      <c r="CL152" s="287"/>
      <c r="CM152" s="286">
        <v>13</v>
      </c>
      <c r="CN152" s="292">
        <v>13</v>
      </c>
      <c r="CO152" s="287"/>
      <c r="CP152" s="287"/>
      <c r="CQ152" s="287">
        <v>13</v>
      </c>
      <c r="CR152" s="287"/>
      <c r="CS152" s="288">
        <f>I152</f>
        <v>13</v>
      </c>
      <c r="CT152" s="6"/>
      <c r="CU152" s="6"/>
      <c r="CV152" s="6"/>
      <c r="CW152" s="6"/>
      <c r="CX152" s="6"/>
      <c r="CY152" s="6"/>
      <c r="CZ152" s="6"/>
      <c r="DA152" s="343">
        <f t="shared" si="5"/>
        <v>8</v>
      </c>
    </row>
    <row r="153" spans="1:112" ht="20" customHeight="1" x14ac:dyDescent="0.35">
      <c r="A153" s="290"/>
      <c r="B153" s="270" t="s">
        <v>1260</v>
      </c>
      <c r="C153" s="270" t="s">
        <v>259</v>
      </c>
      <c r="D153" s="297" t="s">
        <v>655</v>
      </c>
      <c r="E153" s="270" t="s">
        <v>800</v>
      </c>
      <c r="F153" s="270" t="s">
        <v>1838</v>
      </c>
      <c r="G153" s="270"/>
      <c r="H153" s="298">
        <f>H151/25*4</f>
        <v>6.4</v>
      </c>
      <c r="I153" s="292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94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7"/>
      <c r="AL153" s="288"/>
      <c r="AM153" s="287"/>
      <c r="AN153" s="287"/>
      <c r="AO153" s="287"/>
      <c r="AP153" s="286"/>
      <c r="AQ153" s="29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6"/>
      <c r="BY153" s="289"/>
      <c r="BZ153" s="289"/>
      <c r="CA153" s="289"/>
      <c r="CB153" s="289"/>
      <c r="CC153" s="289"/>
      <c r="CD153" s="289"/>
      <c r="CE153" s="289"/>
      <c r="CF153" s="289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6"/>
      <c r="CT153" s="6"/>
      <c r="CU153" s="6"/>
      <c r="CV153" s="6"/>
      <c r="CW153" s="6"/>
      <c r="CX153" s="6"/>
      <c r="CY153" s="6"/>
      <c r="CZ153" s="6"/>
      <c r="DA153" s="343">
        <f t="shared" ref="DA153:DA230" si="6">H153</f>
        <v>6.4</v>
      </c>
    </row>
    <row r="154" spans="1:112" ht="20" customHeight="1" x14ac:dyDescent="0.35">
      <c r="A154" s="290"/>
      <c r="B154" s="270" t="s">
        <v>1261</v>
      </c>
      <c r="C154" s="270" t="s">
        <v>259</v>
      </c>
      <c r="D154" s="297" t="s">
        <v>655</v>
      </c>
      <c r="E154" s="270" t="s">
        <v>800</v>
      </c>
      <c r="F154" s="270" t="s">
        <v>66</v>
      </c>
      <c r="G154" s="270"/>
      <c r="H154" s="298">
        <f>H151/25</f>
        <v>1.6</v>
      </c>
      <c r="I154" s="292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94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7"/>
      <c r="AL154" s="288"/>
      <c r="AM154" s="287"/>
      <c r="AN154" s="287"/>
      <c r="AO154" s="287"/>
      <c r="AP154" s="286"/>
      <c r="AQ154" s="29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6"/>
      <c r="BY154" s="289"/>
      <c r="BZ154" s="289"/>
      <c r="CA154" s="289"/>
      <c r="CB154" s="289"/>
      <c r="CC154" s="289"/>
      <c r="CD154" s="289"/>
      <c r="CE154" s="289"/>
      <c r="CF154" s="289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6"/>
      <c r="CT154" s="6"/>
      <c r="CU154" s="6"/>
      <c r="CV154" s="6"/>
      <c r="CW154" s="6"/>
      <c r="CX154" s="6"/>
      <c r="CY154" s="6"/>
      <c r="CZ154" s="6"/>
      <c r="DA154" s="343">
        <f t="shared" si="6"/>
        <v>1.6</v>
      </c>
    </row>
    <row r="155" spans="1:112" ht="20" customHeight="1" x14ac:dyDescent="0.35">
      <c r="A155" s="290"/>
      <c r="B155" s="270" t="s">
        <v>816</v>
      </c>
      <c r="C155" s="270" t="s">
        <v>817</v>
      </c>
      <c r="D155" s="270"/>
      <c r="E155" s="270"/>
      <c r="F155" s="270" t="s">
        <v>443</v>
      </c>
      <c r="G155" s="270" t="s">
        <v>39</v>
      </c>
      <c r="H155" s="298"/>
      <c r="I155" s="292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94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7"/>
      <c r="AL155" s="288"/>
      <c r="AM155" s="287"/>
      <c r="AN155" s="287"/>
      <c r="AO155" s="287"/>
      <c r="AP155" s="286"/>
      <c r="AQ155" s="29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6"/>
      <c r="BY155" s="289"/>
      <c r="BZ155" s="289"/>
      <c r="CA155" s="289"/>
      <c r="CB155" s="289"/>
      <c r="CC155" s="289"/>
      <c r="CD155" s="289"/>
      <c r="CE155" s="289"/>
      <c r="CF155" s="289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6"/>
      <c r="CT155" s="6"/>
      <c r="CU155" s="6"/>
      <c r="CV155" s="6"/>
      <c r="CW155" s="6"/>
      <c r="CX155" s="6"/>
      <c r="CY155" s="6"/>
      <c r="CZ155" s="6"/>
      <c r="DA155" s="343">
        <f t="shared" si="6"/>
        <v>0</v>
      </c>
    </row>
    <row r="156" spans="1:112" ht="20" customHeight="1" x14ac:dyDescent="0.35">
      <c r="A156" s="290"/>
      <c r="B156" s="270" t="s">
        <v>818</v>
      </c>
      <c r="C156" s="270" t="s">
        <v>817</v>
      </c>
      <c r="D156" s="270"/>
      <c r="E156" s="270"/>
      <c r="F156" s="270" t="s">
        <v>1839</v>
      </c>
      <c r="G156" s="270" t="s">
        <v>39</v>
      </c>
      <c r="H156" s="298"/>
      <c r="I156" s="292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94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7"/>
      <c r="AL156" s="288"/>
      <c r="AM156" s="287"/>
      <c r="AN156" s="287"/>
      <c r="AO156" s="287"/>
      <c r="AP156" s="286"/>
      <c r="AQ156" s="29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6"/>
      <c r="BY156" s="289"/>
      <c r="BZ156" s="289"/>
      <c r="CA156" s="289"/>
      <c r="CB156" s="289"/>
      <c r="CC156" s="289"/>
      <c r="CD156" s="289"/>
      <c r="CE156" s="289"/>
      <c r="CF156" s="289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6"/>
      <c r="CT156" s="6"/>
      <c r="CU156" s="6"/>
      <c r="CV156" s="6"/>
      <c r="CW156" s="6"/>
      <c r="CX156" s="6"/>
      <c r="CY156" s="6"/>
      <c r="CZ156" s="6"/>
      <c r="DA156" s="343">
        <f t="shared" si="6"/>
        <v>0</v>
      </c>
    </row>
    <row r="157" spans="1:112" ht="20" customHeight="1" x14ac:dyDescent="0.35">
      <c r="A157" s="301"/>
      <c r="B157" s="311" t="s">
        <v>819</v>
      </c>
      <c r="C157" s="270" t="s">
        <v>1626</v>
      </c>
      <c r="D157" s="270"/>
      <c r="E157" s="270"/>
      <c r="F157" s="270" t="s">
        <v>66</v>
      </c>
      <c r="G157" s="270"/>
      <c r="H157" s="298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94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>
        <v>3</v>
      </c>
      <c r="AH157" s="286"/>
      <c r="AI157" s="286"/>
      <c r="AJ157" s="286"/>
      <c r="AK157" s="287"/>
      <c r="AL157" s="288"/>
      <c r="AM157" s="287"/>
      <c r="AN157" s="287"/>
      <c r="AO157" s="287"/>
      <c r="AP157" s="286"/>
      <c r="AQ157" s="29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6"/>
      <c r="BY157" s="289"/>
      <c r="BZ157" s="289"/>
      <c r="CA157" s="289"/>
      <c r="CB157" s="289"/>
      <c r="CC157" s="289"/>
      <c r="CD157" s="289"/>
      <c r="CE157" s="289"/>
      <c r="CF157" s="289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6"/>
      <c r="CT157" s="6"/>
      <c r="CU157" s="6"/>
      <c r="CV157" s="6"/>
      <c r="CW157" s="6"/>
      <c r="CX157" s="6"/>
      <c r="CY157" s="6"/>
      <c r="CZ157" s="6"/>
      <c r="DA157" s="343">
        <f t="shared" si="6"/>
        <v>0</v>
      </c>
    </row>
    <row r="158" spans="1:112" ht="20" customHeight="1" x14ac:dyDescent="0.35">
      <c r="A158" s="290"/>
      <c r="B158" s="270" t="s">
        <v>820</v>
      </c>
      <c r="C158" s="270" t="s">
        <v>1627</v>
      </c>
      <c r="D158" s="297" t="s">
        <v>653</v>
      </c>
      <c r="E158" s="270" t="s">
        <v>1628</v>
      </c>
      <c r="F158" s="270" t="s">
        <v>1840</v>
      </c>
      <c r="G158" s="270" t="s">
        <v>36</v>
      </c>
      <c r="H158" s="312">
        <v>18.600000000000001</v>
      </c>
      <c r="I158" s="292">
        <v>22</v>
      </c>
      <c r="J158" s="292">
        <v>22.5</v>
      </c>
      <c r="K158" s="286"/>
      <c r="L158" s="286">
        <v>24</v>
      </c>
      <c r="M158" s="400"/>
      <c r="N158" s="286"/>
      <c r="O158" s="300"/>
      <c r="P158" s="286"/>
      <c r="Q158" s="286"/>
      <c r="R158" s="286">
        <v>24</v>
      </c>
      <c r="S158" s="286"/>
      <c r="T158" s="300">
        <v>22.5</v>
      </c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95"/>
      <c r="AL158" s="288"/>
      <c r="AM158" s="287"/>
      <c r="AN158" s="287"/>
      <c r="AO158" s="287"/>
      <c r="AP158" s="286"/>
      <c r="AQ158" s="29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7"/>
      <c r="BE158" s="287"/>
      <c r="BF158" s="287"/>
      <c r="BG158" s="288">
        <v>25</v>
      </c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6"/>
      <c r="BY158" s="289"/>
      <c r="BZ158" s="289"/>
      <c r="CA158" s="289"/>
      <c r="CB158" s="289"/>
      <c r="CC158" s="289"/>
      <c r="CD158" s="289"/>
      <c r="CE158" s="289"/>
      <c r="CF158" s="289"/>
      <c r="CG158" s="305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>
        <v>22</v>
      </c>
      <c r="CR158" s="287"/>
      <c r="CS158" s="288">
        <f>I158</f>
        <v>22</v>
      </c>
      <c r="CT158" s="6"/>
      <c r="CU158" s="6"/>
      <c r="CV158" s="6"/>
      <c r="CW158" s="6"/>
      <c r="CX158" s="6"/>
      <c r="CY158" s="6"/>
      <c r="CZ158" s="6"/>
      <c r="DA158" s="343">
        <f t="shared" si="6"/>
        <v>18.600000000000001</v>
      </c>
    </row>
    <row r="159" spans="1:112" ht="20" customHeight="1" x14ac:dyDescent="0.35">
      <c r="A159" s="290"/>
      <c r="B159" s="270" t="s">
        <v>1506</v>
      </c>
      <c r="C159" s="270" t="s">
        <v>1627</v>
      </c>
      <c r="D159" s="297" t="s">
        <v>653</v>
      </c>
      <c r="E159" s="270" t="s">
        <v>1628</v>
      </c>
      <c r="F159" s="270" t="s">
        <v>1841</v>
      </c>
      <c r="G159" s="270" t="s">
        <v>38</v>
      </c>
      <c r="H159" s="312">
        <f>H158/20</f>
        <v>0.93</v>
      </c>
      <c r="I159" s="292"/>
      <c r="J159" s="292">
        <v>1.2</v>
      </c>
      <c r="K159" s="286"/>
      <c r="L159" s="286"/>
      <c r="M159" s="286"/>
      <c r="N159" s="286"/>
      <c r="O159" s="300"/>
      <c r="P159" s="286"/>
      <c r="Q159" s="286"/>
      <c r="R159" s="286"/>
      <c r="S159" s="286"/>
      <c r="T159" s="300">
        <v>1.2</v>
      </c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7"/>
      <c r="AL159" s="288"/>
      <c r="AM159" s="287"/>
      <c r="AN159" s="287"/>
      <c r="AO159" s="287"/>
      <c r="AP159" s="286"/>
      <c r="AQ159" s="29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286"/>
      <c r="BB159" s="286"/>
      <c r="BC159" s="286">
        <v>1.2</v>
      </c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6"/>
      <c r="BY159" s="289"/>
      <c r="BZ159" s="289"/>
      <c r="CA159" s="289"/>
      <c r="CB159" s="289"/>
      <c r="CC159" s="289"/>
      <c r="CD159" s="289"/>
      <c r="CE159" s="289"/>
      <c r="CF159" s="289"/>
      <c r="CG159" s="305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6"/>
      <c r="CT159" s="6"/>
      <c r="CU159" s="6"/>
      <c r="CV159" s="6"/>
      <c r="CW159" s="6"/>
      <c r="CX159" s="6"/>
      <c r="CY159" s="6"/>
      <c r="CZ159" s="6"/>
      <c r="DA159" s="343">
        <f t="shared" si="6"/>
        <v>0.93</v>
      </c>
    </row>
    <row r="160" spans="1:112" ht="20" customHeight="1" x14ac:dyDescent="0.35">
      <c r="A160" s="290" t="s">
        <v>1320</v>
      </c>
      <c r="B160" s="270" t="s">
        <v>821</v>
      </c>
      <c r="C160" s="270" t="s">
        <v>1629</v>
      </c>
      <c r="D160" s="297" t="s">
        <v>655</v>
      </c>
      <c r="E160" s="270" t="s">
        <v>1628</v>
      </c>
      <c r="F160" s="270" t="s">
        <v>1840</v>
      </c>
      <c r="G160" s="270" t="s">
        <v>36</v>
      </c>
      <c r="H160" s="298">
        <v>24</v>
      </c>
      <c r="I160" s="286">
        <v>32</v>
      </c>
      <c r="J160" s="286">
        <v>29</v>
      </c>
      <c r="K160" s="286"/>
      <c r="L160" s="286">
        <v>32</v>
      </c>
      <c r="M160" s="400"/>
      <c r="N160" s="286"/>
      <c r="O160" s="286"/>
      <c r="P160" s="286"/>
      <c r="Q160" s="286"/>
      <c r="R160" s="286"/>
      <c r="S160" s="286"/>
      <c r="T160" s="286"/>
      <c r="U160" s="286"/>
      <c r="V160" s="294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95"/>
      <c r="AL160" s="288"/>
      <c r="AM160" s="287"/>
      <c r="AN160" s="287"/>
      <c r="AO160" s="287"/>
      <c r="AP160" s="286"/>
      <c r="AQ160" s="29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7"/>
      <c r="BE160" s="287"/>
      <c r="BF160" s="287"/>
      <c r="BG160" s="288">
        <v>30</v>
      </c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6"/>
      <c r="BY160" s="289"/>
      <c r="BZ160" s="289"/>
      <c r="CA160" s="289"/>
      <c r="CB160" s="289"/>
      <c r="CC160" s="289"/>
      <c r="CD160" s="289"/>
      <c r="CE160" s="289"/>
      <c r="CF160" s="289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>
        <v>32</v>
      </c>
      <c r="CR160" s="287"/>
      <c r="CS160" s="288">
        <f>I160</f>
        <v>32</v>
      </c>
      <c r="CT160" s="6"/>
      <c r="CU160" s="6"/>
      <c r="CV160" s="6"/>
      <c r="CW160" s="6"/>
      <c r="CX160" s="6"/>
      <c r="CY160" s="6"/>
      <c r="CZ160" s="6"/>
      <c r="DA160" s="343">
        <f t="shared" si="6"/>
        <v>24</v>
      </c>
    </row>
    <row r="161" spans="1:105" ht="20" customHeight="1" x14ac:dyDescent="0.35">
      <c r="A161" s="290"/>
      <c r="B161" s="270" t="s">
        <v>2249</v>
      </c>
      <c r="C161" s="270" t="s">
        <v>1629</v>
      </c>
      <c r="D161" s="297" t="s">
        <v>655</v>
      </c>
      <c r="E161" s="270" t="s">
        <v>1628</v>
      </c>
      <c r="F161" s="270" t="s">
        <v>2250</v>
      </c>
      <c r="G161" s="270" t="s">
        <v>38</v>
      </c>
      <c r="H161" s="298">
        <v>1.45</v>
      </c>
      <c r="I161" s="286"/>
      <c r="J161" s="289">
        <v>1.45</v>
      </c>
      <c r="K161" s="286"/>
      <c r="L161" s="286"/>
      <c r="M161" s="400"/>
      <c r="N161" s="286"/>
      <c r="O161" s="286"/>
      <c r="P161" s="286"/>
      <c r="Q161" s="286"/>
      <c r="R161" s="286"/>
      <c r="S161" s="286"/>
      <c r="T161" s="286"/>
      <c r="U161" s="286"/>
      <c r="V161" s="294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95"/>
      <c r="AL161" s="288"/>
      <c r="AM161" s="287"/>
      <c r="AN161" s="287"/>
      <c r="AO161" s="287"/>
      <c r="AP161" s="286"/>
      <c r="AQ161" s="29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7"/>
      <c r="BE161" s="287"/>
      <c r="BF161" s="287"/>
      <c r="BG161" s="288"/>
      <c r="BH161" s="287">
        <v>1.45</v>
      </c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6"/>
      <c r="BY161" s="289"/>
      <c r="BZ161" s="289"/>
      <c r="CA161" s="289"/>
      <c r="CB161" s="289"/>
      <c r="CC161" s="289"/>
      <c r="CD161" s="289"/>
      <c r="CE161" s="289"/>
      <c r="CF161" s="289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8">
        <f>I161</f>
        <v>0</v>
      </c>
      <c r="CT161" s="6"/>
      <c r="CU161" s="6"/>
      <c r="CV161" s="6"/>
      <c r="CW161" s="6"/>
      <c r="CX161" s="6"/>
      <c r="CY161" s="6"/>
      <c r="CZ161" s="6"/>
      <c r="DA161" s="343">
        <f t="shared" ref="DA161" si="7">H161</f>
        <v>1.45</v>
      </c>
    </row>
    <row r="162" spans="1:105" ht="20" customHeight="1" x14ac:dyDescent="0.35">
      <c r="A162" s="301"/>
      <c r="B162" s="270" t="s">
        <v>822</v>
      </c>
      <c r="C162" s="270" t="s">
        <v>1630</v>
      </c>
      <c r="D162" s="270" t="s">
        <v>646</v>
      </c>
      <c r="E162" s="270" t="s">
        <v>826</v>
      </c>
      <c r="F162" s="270" t="s">
        <v>66</v>
      </c>
      <c r="G162" s="270" t="s">
        <v>38</v>
      </c>
      <c r="H162" s="298">
        <v>11.8</v>
      </c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>
        <v>15</v>
      </c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7"/>
      <c r="AL162" s="288"/>
      <c r="AM162" s="287"/>
      <c r="AN162" s="287"/>
      <c r="AO162" s="287"/>
      <c r="AP162" s="286"/>
      <c r="AQ162" s="29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7"/>
      <c r="BE162" s="287"/>
      <c r="BF162" s="287"/>
      <c r="BG162" s="287">
        <v>17</v>
      </c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6"/>
      <c r="BY162" s="289"/>
      <c r="BZ162" s="289"/>
      <c r="CA162" s="289"/>
      <c r="CB162" s="289"/>
      <c r="CC162" s="289"/>
      <c r="CD162" s="289"/>
      <c r="CE162" s="289"/>
      <c r="CF162" s="289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6"/>
      <c r="CT162" s="6"/>
      <c r="CU162" s="6"/>
      <c r="CV162" s="6"/>
      <c r="CW162" s="6"/>
      <c r="CX162" s="6"/>
      <c r="CY162" s="6"/>
      <c r="CZ162" s="6"/>
      <c r="DA162" s="343">
        <f t="shared" si="6"/>
        <v>11.8</v>
      </c>
    </row>
    <row r="163" spans="1:105" ht="20" customHeight="1" x14ac:dyDescent="0.35">
      <c r="A163" s="301"/>
      <c r="B163" s="270" t="s">
        <v>823</v>
      </c>
      <c r="C163" s="270" t="s">
        <v>1631</v>
      </c>
      <c r="D163" s="270" t="s">
        <v>629</v>
      </c>
      <c r="E163" s="270" t="s">
        <v>628</v>
      </c>
      <c r="F163" s="270" t="s">
        <v>1842</v>
      </c>
      <c r="G163" s="270" t="s">
        <v>42</v>
      </c>
      <c r="H163" s="298">
        <v>19</v>
      </c>
      <c r="I163" s="286"/>
      <c r="J163" s="286"/>
      <c r="K163" s="286"/>
      <c r="L163" s="286"/>
      <c r="M163" s="286"/>
      <c r="N163" s="286"/>
      <c r="O163" s="286">
        <v>24</v>
      </c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7"/>
      <c r="AL163" s="288"/>
      <c r="AM163" s="287"/>
      <c r="AN163" s="287"/>
      <c r="AO163" s="287"/>
      <c r="AP163" s="286"/>
      <c r="AQ163" s="29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6"/>
      <c r="BY163" s="289"/>
      <c r="BZ163" s="289"/>
      <c r="CA163" s="289"/>
      <c r="CB163" s="289"/>
      <c r="CC163" s="289"/>
      <c r="CD163" s="289"/>
      <c r="CE163" s="289"/>
      <c r="CF163" s="289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6"/>
      <c r="CT163" s="6"/>
      <c r="CU163" s="6"/>
      <c r="CV163" s="6"/>
      <c r="CW163" s="6"/>
      <c r="CX163" s="6"/>
      <c r="CY163" s="6"/>
      <c r="CZ163" s="6"/>
      <c r="DA163" s="343">
        <f t="shared" si="6"/>
        <v>19</v>
      </c>
    </row>
    <row r="164" spans="1:105" ht="20" customHeight="1" x14ac:dyDescent="0.35">
      <c r="A164" s="301"/>
      <c r="B164" s="270" t="s">
        <v>1968</v>
      </c>
      <c r="C164" s="270" t="s">
        <v>1972</v>
      </c>
      <c r="D164" s="270" t="s">
        <v>627</v>
      </c>
      <c r="E164" s="270" t="s">
        <v>1969</v>
      </c>
      <c r="F164" s="270" t="s">
        <v>1970</v>
      </c>
      <c r="G164" s="270" t="s">
        <v>36</v>
      </c>
      <c r="H164" s="298">
        <v>21.5</v>
      </c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8"/>
      <c r="AM164" s="287"/>
      <c r="AN164" s="287"/>
      <c r="AO164" s="287"/>
      <c r="AP164" s="286"/>
      <c r="AQ164" s="29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9"/>
      <c r="BT164" s="289"/>
      <c r="BU164" s="289"/>
      <c r="BV164" s="289"/>
      <c r="BW164" s="289"/>
      <c r="BX164" s="286"/>
      <c r="BY164" s="289"/>
      <c r="BZ164" s="289"/>
      <c r="CA164" s="289"/>
      <c r="CB164" s="289"/>
      <c r="CC164" s="289"/>
      <c r="CD164" s="289"/>
      <c r="CE164" s="289"/>
      <c r="CF164" s="289"/>
      <c r="CG164" s="289"/>
      <c r="CH164" s="289"/>
      <c r="CI164" s="289"/>
      <c r="CJ164" s="289"/>
      <c r="CK164" s="289"/>
      <c r="CL164" s="289"/>
      <c r="CM164" s="289"/>
      <c r="CN164" s="289"/>
      <c r="CO164" s="287"/>
      <c r="CP164" s="287"/>
      <c r="CQ164" s="287"/>
      <c r="CR164" s="287"/>
      <c r="CS164" s="6"/>
      <c r="CT164" s="6"/>
      <c r="CU164" s="6"/>
      <c r="CV164" s="6"/>
      <c r="CW164" s="6"/>
      <c r="CX164" s="6"/>
      <c r="CY164" s="6"/>
      <c r="CZ164" s="6"/>
      <c r="DA164" s="343">
        <f t="shared" si="6"/>
        <v>21.5</v>
      </c>
    </row>
    <row r="165" spans="1:105" ht="20" customHeight="1" x14ac:dyDescent="0.35">
      <c r="A165" s="301"/>
      <c r="B165" s="270" t="s">
        <v>1971</v>
      </c>
      <c r="C165" s="270" t="s">
        <v>1972</v>
      </c>
      <c r="D165" s="270" t="s">
        <v>627</v>
      </c>
      <c r="E165" s="270" t="s">
        <v>1969</v>
      </c>
      <c r="F165" s="270" t="s">
        <v>1973</v>
      </c>
      <c r="G165" s="270" t="s">
        <v>31</v>
      </c>
      <c r="H165" s="298">
        <f>H164/12</f>
        <v>1.7916666666666667</v>
      </c>
      <c r="I165" s="289"/>
      <c r="J165" s="286">
        <v>2.5</v>
      </c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95"/>
      <c r="AL165" s="288"/>
      <c r="AM165" s="287"/>
      <c r="AN165" s="287"/>
      <c r="AO165" s="287"/>
      <c r="AP165" s="286"/>
      <c r="AQ165" s="29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7"/>
      <c r="BE165" s="287"/>
      <c r="BF165" s="287"/>
      <c r="BG165" s="288"/>
      <c r="BH165" s="287">
        <v>2.5</v>
      </c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9"/>
      <c r="BT165" s="289"/>
      <c r="BU165" s="289"/>
      <c r="BV165" s="289"/>
      <c r="BW165" s="289"/>
      <c r="BX165" s="286"/>
      <c r="BY165" s="289"/>
      <c r="BZ165" s="289"/>
      <c r="CA165" s="289"/>
      <c r="CB165" s="289"/>
      <c r="CC165" s="289"/>
      <c r="CD165" s="289"/>
      <c r="CE165" s="289"/>
      <c r="CF165" s="289"/>
      <c r="CG165" s="289"/>
      <c r="CH165" s="289"/>
      <c r="CI165" s="289"/>
      <c r="CJ165" s="289"/>
      <c r="CK165" s="289"/>
      <c r="CL165" s="289"/>
      <c r="CM165" s="289"/>
      <c r="CN165" s="289"/>
      <c r="CO165" s="287"/>
      <c r="CP165" s="287"/>
      <c r="CQ165" s="287"/>
      <c r="CR165" s="287"/>
      <c r="CS165" s="289"/>
      <c r="CT165" s="6"/>
      <c r="CU165" s="6"/>
      <c r="CV165" s="6"/>
      <c r="CW165" s="6"/>
      <c r="CX165" s="6"/>
      <c r="CY165" s="6"/>
      <c r="CZ165" s="6"/>
      <c r="DA165" s="343">
        <f t="shared" si="6"/>
        <v>1.7916666666666667</v>
      </c>
    </row>
    <row r="166" spans="1:105" ht="20" customHeight="1" x14ac:dyDescent="0.35">
      <c r="A166" s="301"/>
      <c r="B166" s="270" t="s">
        <v>824</v>
      </c>
      <c r="C166" s="270" t="s">
        <v>1329</v>
      </c>
      <c r="D166" s="270"/>
      <c r="E166" s="270" t="s">
        <v>630</v>
      </c>
      <c r="F166" s="270" t="s">
        <v>631</v>
      </c>
      <c r="G166" s="270"/>
      <c r="H166" s="298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7"/>
      <c r="AL166" s="288"/>
      <c r="AM166" s="287"/>
      <c r="AN166" s="287"/>
      <c r="AO166" s="287"/>
      <c r="AP166" s="286"/>
      <c r="AQ166" s="29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9"/>
      <c r="BT166" s="289"/>
      <c r="BU166" s="289"/>
      <c r="BV166" s="289"/>
      <c r="BW166" s="289"/>
      <c r="BX166" s="286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289"/>
      <c r="CO166" s="287"/>
      <c r="CP166" s="287"/>
      <c r="CQ166" s="287"/>
      <c r="CR166" s="287"/>
      <c r="CS166" s="280">
        <v>15</v>
      </c>
      <c r="CT166" s="6"/>
      <c r="CU166" s="6"/>
      <c r="CV166" s="6"/>
      <c r="CW166" s="6"/>
      <c r="CX166" s="6"/>
      <c r="CY166" s="6"/>
      <c r="CZ166" s="6"/>
      <c r="DA166" s="343">
        <f t="shared" si="6"/>
        <v>0</v>
      </c>
    </row>
    <row r="167" spans="1:105" ht="20" customHeight="1" x14ac:dyDescent="0.35">
      <c r="A167" s="301"/>
      <c r="B167" s="270" t="s">
        <v>1919</v>
      </c>
      <c r="C167" s="270" t="s">
        <v>1329</v>
      </c>
      <c r="D167" s="270"/>
      <c r="E167" s="270" t="s">
        <v>630</v>
      </c>
      <c r="F167" s="270" t="s">
        <v>1920</v>
      </c>
      <c r="G167" s="270" t="s">
        <v>44</v>
      </c>
      <c r="H167" s="298">
        <v>1</v>
      </c>
      <c r="I167" s="286"/>
      <c r="J167" s="286">
        <v>1.3</v>
      </c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7"/>
      <c r="AL167" s="288"/>
      <c r="AM167" s="287"/>
      <c r="AN167" s="287"/>
      <c r="AO167" s="287"/>
      <c r="AP167" s="286"/>
      <c r="AQ167" s="29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7"/>
      <c r="BE167" s="287"/>
      <c r="BF167" s="287"/>
      <c r="BG167" s="287"/>
      <c r="BH167" s="287">
        <v>1.3</v>
      </c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9"/>
      <c r="BT167" s="289"/>
      <c r="BU167" s="289"/>
      <c r="BV167" s="289"/>
      <c r="BW167" s="289"/>
      <c r="BX167" s="286"/>
      <c r="BY167" s="289"/>
      <c r="BZ167" s="289"/>
      <c r="CA167" s="289"/>
      <c r="CB167" s="289"/>
      <c r="CC167" s="289"/>
      <c r="CD167" s="289"/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289"/>
      <c r="CO167" s="287"/>
      <c r="CP167" s="287"/>
      <c r="CQ167" s="287"/>
      <c r="CR167" s="287"/>
      <c r="CS167" s="280"/>
      <c r="CT167" s="6"/>
      <c r="CU167" s="6"/>
      <c r="CV167" s="6"/>
      <c r="CW167" s="6"/>
      <c r="CX167" s="6"/>
      <c r="CY167" s="6"/>
      <c r="CZ167" s="6"/>
      <c r="DA167" s="343">
        <f t="shared" si="6"/>
        <v>1</v>
      </c>
    </row>
    <row r="168" spans="1:105" ht="20" customHeight="1" x14ac:dyDescent="0.35">
      <c r="A168" s="301"/>
      <c r="B168" s="270" t="s">
        <v>825</v>
      </c>
      <c r="C168" s="306" t="s">
        <v>1632</v>
      </c>
      <c r="D168" s="270" t="s">
        <v>646</v>
      </c>
      <c r="E168" s="270" t="s">
        <v>1263</v>
      </c>
      <c r="F168" s="270" t="s">
        <v>66</v>
      </c>
      <c r="G168" s="270"/>
      <c r="H168" s="298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7"/>
      <c r="AL168" s="288"/>
      <c r="AM168" s="287"/>
      <c r="AN168" s="287"/>
      <c r="AO168" s="287"/>
      <c r="AP168" s="286"/>
      <c r="AQ168" s="29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9"/>
      <c r="BT168" s="289"/>
      <c r="BU168" s="289"/>
      <c r="BV168" s="289"/>
      <c r="BW168" s="289"/>
      <c r="BX168" s="286"/>
      <c r="BY168" s="289"/>
      <c r="BZ168" s="289"/>
      <c r="CA168" s="289"/>
      <c r="CB168" s="289"/>
      <c r="CC168" s="289"/>
      <c r="CD168" s="289"/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289"/>
      <c r="CO168" s="287"/>
      <c r="CP168" s="287"/>
      <c r="CQ168" s="287"/>
      <c r="CR168" s="287"/>
      <c r="CS168" s="292">
        <v>10</v>
      </c>
      <c r="CT168" s="6"/>
      <c r="CU168" s="6"/>
      <c r="CV168" s="6"/>
      <c r="CW168" s="6"/>
      <c r="CX168" s="6"/>
      <c r="CY168" s="6"/>
      <c r="CZ168" s="6"/>
      <c r="DA168" s="343">
        <f t="shared" si="6"/>
        <v>0</v>
      </c>
    </row>
    <row r="169" spans="1:105" ht="20" customHeight="1" x14ac:dyDescent="0.35">
      <c r="A169" s="301"/>
      <c r="B169" s="270" t="s">
        <v>1104</v>
      </c>
      <c r="C169" s="306" t="s">
        <v>1633</v>
      </c>
      <c r="D169" s="270" t="s">
        <v>646</v>
      </c>
      <c r="E169" s="270" t="s">
        <v>1267</v>
      </c>
      <c r="F169" s="270" t="s">
        <v>66</v>
      </c>
      <c r="G169" s="270" t="s">
        <v>38</v>
      </c>
      <c r="H169" s="298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>
        <v>38</v>
      </c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7"/>
      <c r="AL169" s="288"/>
      <c r="AM169" s="287"/>
      <c r="AN169" s="287"/>
      <c r="AO169" s="287"/>
      <c r="AP169" s="286"/>
      <c r="AQ169" s="29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9"/>
      <c r="BT169" s="289"/>
      <c r="BU169" s="289"/>
      <c r="BV169" s="289"/>
      <c r="BW169" s="289"/>
      <c r="BX169" s="286"/>
      <c r="BY169" s="289"/>
      <c r="BZ169" s="289"/>
      <c r="CA169" s="289"/>
      <c r="CB169" s="289"/>
      <c r="CC169" s="289"/>
      <c r="CD169" s="289"/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289"/>
      <c r="CO169" s="287"/>
      <c r="CP169" s="287"/>
      <c r="CQ169" s="287"/>
      <c r="CR169" s="287"/>
      <c r="CS169" s="292">
        <v>4.5</v>
      </c>
      <c r="CT169" s="6"/>
      <c r="CU169" s="6"/>
      <c r="CV169" s="6"/>
      <c r="CW169" s="6"/>
      <c r="CX169" s="6"/>
      <c r="CY169" s="6"/>
      <c r="CZ169" s="6"/>
      <c r="DA169" s="343">
        <f t="shared" si="6"/>
        <v>0</v>
      </c>
    </row>
    <row r="170" spans="1:105" ht="20" customHeight="1" x14ac:dyDescent="0.35">
      <c r="A170" s="301"/>
      <c r="B170" s="270" t="s">
        <v>1129</v>
      </c>
      <c r="C170" s="306" t="s">
        <v>1264</v>
      </c>
      <c r="D170" s="270" t="s">
        <v>34</v>
      </c>
      <c r="E170" s="270" t="s">
        <v>1130</v>
      </c>
      <c r="F170" s="270" t="s">
        <v>443</v>
      </c>
      <c r="G170" s="270" t="s">
        <v>44</v>
      </c>
      <c r="H170" s="298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7"/>
      <c r="AL170" s="288"/>
      <c r="AM170" s="287"/>
      <c r="AN170" s="287"/>
      <c r="AO170" s="287"/>
      <c r="AP170" s="286"/>
      <c r="AQ170" s="29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9"/>
      <c r="BT170" s="289">
        <v>36</v>
      </c>
      <c r="BU170" s="289"/>
      <c r="BV170" s="289"/>
      <c r="BW170" s="289"/>
      <c r="BX170" s="286"/>
      <c r="BY170" s="289"/>
      <c r="BZ170" s="289"/>
      <c r="CA170" s="289"/>
      <c r="CB170" s="289"/>
      <c r="CC170" s="289"/>
      <c r="CD170" s="289"/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289"/>
      <c r="CO170" s="287"/>
      <c r="CP170" s="287"/>
      <c r="CQ170" s="287"/>
      <c r="CR170" s="287"/>
      <c r="CS170" s="303">
        <v>6</v>
      </c>
      <c r="CT170" s="6"/>
      <c r="CU170" s="6"/>
      <c r="CV170" s="6"/>
      <c r="CW170" s="6"/>
      <c r="CX170" s="6"/>
      <c r="CY170" s="6"/>
      <c r="CZ170" s="6"/>
      <c r="DA170" s="343">
        <f t="shared" si="6"/>
        <v>0</v>
      </c>
    </row>
    <row r="171" spans="1:105" ht="20" customHeight="1" x14ac:dyDescent="0.35">
      <c r="A171" s="301"/>
      <c r="B171" s="270" t="s">
        <v>1135</v>
      </c>
      <c r="C171" s="306" t="s">
        <v>1763</v>
      </c>
      <c r="D171" s="270" t="s">
        <v>646</v>
      </c>
      <c r="E171" s="270" t="s">
        <v>1263</v>
      </c>
      <c r="F171" s="270" t="s">
        <v>66</v>
      </c>
      <c r="G171" s="270" t="s">
        <v>44</v>
      </c>
      <c r="H171" s="298">
        <v>12</v>
      </c>
      <c r="I171" s="286">
        <v>15</v>
      </c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7"/>
      <c r="AL171" s="288"/>
      <c r="AM171" s="287"/>
      <c r="AN171" s="287"/>
      <c r="AO171" s="287"/>
      <c r="AP171" s="286"/>
      <c r="AQ171" s="29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9"/>
      <c r="BT171" s="289"/>
      <c r="BU171" s="289"/>
      <c r="BV171" s="289"/>
      <c r="BW171" s="289"/>
      <c r="BX171" s="286"/>
      <c r="BY171" s="289"/>
      <c r="BZ171" s="289"/>
      <c r="CA171" s="289"/>
      <c r="CB171" s="289"/>
      <c r="CC171" s="289"/>
      <c r="CD171" s="289"/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289"/>
      <c r="CO171" s="287"/>
      <c r="CP171" s="287"/>
      <c r="CQ171" s="287">
        <v>15</v>
      </c>
      <c r="CR171" s="287"/>
      <c r="CS171" s="288">
        <f>I171</f>
        <v>15</v>
      </c>
      <c r="CT171" s="6"/>
      <c r="CU171" s="6"/>
      <c r="CV171" s="6"/>
      <c r="CW171" s="6"/>
      <c r="CX171" s="6"/>
      <c r="CY171" s="6"/>
      <c r="CZ171" s="6"/>
      <c r="DA171" s="343">
        <f t="shared" si="6"/>
        <v>12</v>
      </c>
    </row>
    <row r="172" spans="1:105" ht="20" customHeight="1" x14ac:dyDescent="0.35">
      <c r="A172" s="301"/>
      <c r="B172" s="270" t="s">
        <v>1138</v>
      </c>
      <c r="C172" s="306" t="s">
        <v>1265</v>
      </c>
      <c r="D172" s="270" t="s">
        <v>646</v>
      </c>
      <c r="E172" s="270" t="s">
        <v>826</v>
      </c>
      <c r="F172" s="270" t="s">
        <v>1847</v>
      </c>
      <c r="G172" s="270" t="s">
        <v>91</v>
      </c>
      <c r="H172" s="298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7"/>
      <c r="AL172" s="288"/>
      <c r="AM172" s="287"/>
      <c r="AN172" s="287"/>
      <c r="AO172" s="287"/>
      <c r="AP172" s="286"/>
      <c r="AQ172" s="29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9"/>
      <c r="BT172" s="289"/>
      <c r="BU172" s="289"/>
      <c r="BV172" s="289"/>
      <c r="BW172" s="289"/>
      <c r="BX172" s="286"/>
      <c r="BY172" s="289"/>
      <c r="BZ172" s="289"/>
      <c r="CA172" s="289"/>
      <c r="CB172" s="289"/>
      <c r="CC172" s="289"/>
      <c r="CD172" s="289"/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289"/>
      <c r="CO172" s="287"/>
      <c r="CP172" s="287"/>
      <c r="CQ172" s="287"/>
      <c r="CR172" s="287"/>
      <c r="CS172" s="6"/>
      <c r="CT172" s="6"/>
      <c r="CU172" s="6"/>
      <c r="CV172" s="6"/>
      <c r="CW172" s="6"/>
      <c r="CX172" s="6"/>
      <c r="CY172" s="6"/>
      <c r="CZ172" s="6"/>
      <c r="DA172" s="343">
        <f t="shared" si="6"/>
        <v>0</v>
      </c>
    </row>
    <row r="173" spans="1:105" ht="20" customHeight="1" x14ac:dyDescent="0.35">
      <c r="A173" s="301"/>
      <c r="B173" s="270" t="s">
        <v>1139</v>
      </c>
      <c r="C173" s="306" t="s">
        <v>1266</v>
      </c>
      <c r="D173" s="270" t="s">
        <v>646</v>
      </c>
      <c r="E173" s="270" t="s">
        <v>826</v>
      </c>
      <c r="F173" s="270" t="s">
        <v>66</v>
      </c>
      <c r="G173" s="270" t="s">
        <v>44</v>
      </c>
      <c r="H173" s="298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7"/>
      <c r="AL173" s="288"/>
      <c r="AM173" s="287"/>
      <c r="AN173" s="287"/>
      <c r="AO173" s="287"/>
      <c r="AP173" s="286"/>
      <c r="AQ173" s="29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9"/>
      <c r="BT173" s="289"/>
      <c r="BU173" s="289"/>
      <c r="BV173" s="289"/>
      <c r="BW173" s="289"/>
      <c r="BX173" s="286"/>
      <c r="BY173" s="289"/>
      <c r="BZ173" s="289"/>
      <c r="CA173" s="289"/>
      <c r="CB173" s="289"/>
      <c r="CC173" s="289"/>
      <c r="CD173" s="289"/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289"/>
      <c r="CO173" s="287"/>
      <c r="CP173" s="287"/>
      <c r="CQ173" s="287"/>
      <c r="CR173" s="287"/>
      <c r="CS173" s="6"/>
      <c r="CT173" s="6"/>
      <c r="CU173" s="6"/>
      <c r="CV173" s="6"/>
      <c r="CW173" s="6"/>
      <c r="CX173" s="6"/>
      <c r="CY173" s="6"/>
      <c r="CZ173" s="6"/>
      <c r="DA173" s="343">
        <f t="shared" si="6"/>
        <v>0</v>
      </c>
    </row>
    <row r="174" spans="1:105" ht="20" customHeight="1" x14ac:dyDescent="0.35">
      <c r="A174" s="301" t="s">
        <v>1304</v>
      </c>
      <c r="B174" s="270" t="s">
        <v>1262</v>
      </c>
      <c r="C174" s="306" t="s">
        <v>1634</v>
      </c>
      <c r="D174" s="270" t="s">
        <v>655</v>
      </c>
      <c r="E174" s="270" t="s">
        <v>1530</v>
      </c>
      <c r="F174" s="270" t="s">
        <v>1771</v>
      </c>
      <c r="G174" s="270" t="s">
        <v>544</v>
      </c>
      <c r="H174" s="298">
        <v>0.57999999999999996</v>
      </c>
      <c r="I174" s="289">
        <v>0.95</v>
      </c>
      <c r="J174" s="292">
        <v>0.9</v>
      </c>
      <c r="K174" s="286"/>
      <c r="L174" s="286"/>
      <c r="M174" s="286"/>
      <c r="N174" s="286"/>
      <c r="O174" s="286"/>
      <c r="P174" s="286"/>
      <c r="Q174" s="286"/>
      <c r="R174" s="286"/>
      <c r="S174" s="286"/>
      <c r="T174" s="286">
        <v>0.9</v>
      </c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7">
        <v>1</v>
      </c>
      <c r="AL174" s="288"/>
      <c r="AM174" s="287"/>
      <c r="AN174" s="287"/>
      <c r="AO174" s="287"/>
      <c r="AP174" s="286"/>
      <c r="AQ174" s="296">
        <v>0.8</v>
      </c>
      <c r="AR174" s="286"/>
      <c r="AS174" s="286"/>
      <c r="AT174" s="286"/>
      <c r="AU174" s="286"/>
      <c r="AV174" s="286"/>
      <c r="AW174" s="286"/>
      <c r="AX174" s="286"/>
      <c r="AY174" s="286"/>
      <c r="AZ174" s="286">
        <v>0.9</v>
      </c>
      <c r="BA174" s="286"/>
      <c r="BB174" s="286"/>
      <c r="BC174" s="286"/>
      <c r="BD174" s="287"/>
      <c r="BE174" s="287"/>
      <c r="BF174" s="287"/>
      <c r="BG174" s="288">
        <v>1.2</v>
      </c>
      <c r="BH174" s="287">
        <v>0.9</v>
      </c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9"/>
      <c r="BT174" s="289"/>
      <c r="BU174" s="289"/>
      <c r="BV174" s="289"/>
      <c r="BW174" s="289"/>
      <c r="BX174" s="286"/>
      <c r="BY174" s="289"/>
      <c r="BZ174" s="289"/>
      <c r="CA174" s="289"/>
      <c r="CB174" s="289"/>
      <c r="CC174" s="289"/>
      <c r="CD174" s="289"/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289"/>
      <c r="CO174" s="287"/>
      <c r="CP174" s="287"/>
      <c r="CQ174" s="287">
        <v>0.95</v>
      </c>
      <c r="CR174" s="287"/>
      <c r="CS174" s="6"/>
      <c r="CT174" s="6"/>
      <c r="CU174" s="6"/>
      <c r="CV174" s="6"/>
      <c r="CW174" s="6"/>
      <c r="CX174" s="6"/>
      <c r="CY174" s="6"/>
      <c r="CZ174" s="6"/>
      <c r="DA174" s="343">
        <f t="shared" si="6"/>
        <v>0.57999999999999996</v>
      </c>
    </row>
    <row r="175" spans="1:105" ht="20" customHeight="1" x14ac:dyDescent="0.35">
      <c r="A175" s="301"/>
      <c r="B175" s="270" t="s">
        <v>1310</v>
      </c>
      <c r="C175" s="306" t="s">
        <v>1311</v>
      </c>
      <c r="D175" s="270" t="s">
        <v>646</v>
      </c>
      <c r="E175" s="270" t="s">
        <v>34</v>
      </c>
      <c r="F175" s="270" t="s">
        <v>66</v>
      </c>
      <c r="G175" s="270" t="s">
        <v>44</v>
      </c>
      <c r="H175" s="298">
        <v>15.5</v>
      </c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7"/>
      <c r="AL175" s="288"/>
      <c r="AM175" s="287"/>
      <c r="AN175" s="287"/>
      <c r="AO175" s="287"/>
      <c r="AP175" s="286"/>
      <c r="AQ175" s="29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9"/>
      <c r="BT175" s="289"/>
      <c r="BU175" s="289">
        <v>21</v>
      </c>
      <c r="BV175" s="289"/>
      <c r="BW175" s="289"/>
      <c r="BX175" s="286"/>
      <c r="BY175" s="289"/>
      <c r="BZ175" s="289"/>
      <c r="CA175" s="289"/>
      <c r="CB175" s="289"/>
      <c r="CC175" s="289"/>
      <c r="CD175" s="289"/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289"/>
      <c r="CO175" s="287"/>
      <c r="CP175" s="287"/>
      <c r="CQ175" s="287"/>
      <c r="CR175" s="287"/>
      <c r="CS175" s="6"/>
      <c r="CT175" s="6"/>
      <c r="CU175" s="6"/>
      <c r="CV175" s="6"/>
      <c r="CW175" s="6"/>
      <c r="CX175" s="6"/>
      <c r="CY175" s="6"/>
      <c r="CZ175" s="6"/>
      <c r="DA175" s="343">
        <f t="shared" si="6"/>
        <v>15.5</v>
      </c>
    </row>
    <row r="176" spans="1:105" ht="20" customHeight="1" x14ac:dyDescent="0.35">
      <c r="A176" s="301"/>
      <c r="B176" s="270" t="s">
        <v>1773</v>
      </c>
      <c r="C176" s="306" t="s">
        <v>1775</v>
      </c>
      <c r="D176" s="270" t="s">
        <v>646</v>
      </c>
      <c r="E176" s="270" t="s">
        <v>1776</v>
      </c>
      <c r="F176" s="270" t="s">
        <v>1774</v>
      </c>
      <c r="G176" s="270" t="s">
        <v>44</v>
      </c>
      <c r="H176" s="298">
        <v>6.9</v>
      </c>
      <c r="I176" s="286"/>
      <c r="J176" s="292">
        <v>8.5</v>
      </c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7"/>
      <c r="AL176" s="288"/>
      <c r="AM176" s="287"/>
      <c r="AN176" s="287"/>
      <c r="AO176" s="287"/>
      <c r="AP176" s="286"/>
      <c r="AQ176" s="29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9"/>
      <c r="BT176" s="289"/>
      <c r="BU176" s="289"/>
      <c r="BV176" s="289"/>
      <c r="BW176" s="289"/>
      <c r="BX176" s="286"/>
      <c r="BY176" s="289"/>
      <c r="BZ176" s="289"/>
      <c r="CA176" s="289"/>
      <c r="CB176" s="289"/>
      <c r="CC176" s="289"/>
      <c r="CD176" s="289"/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289"/>
      <c r="CO176" s="287"/>
      <c r="CP176" s="287"/>
      <c r="CQ176" s="287"/>
      <c r="CR176" s="287"/>
      <c r="CS176" s="6"/>
      <c r="CT176" s="6"/>
      <c r="CU176" s="6"/>
      <c r="CV176" s="6"/>
      <c r="CW176" s="6"/>
      <c r="CX176" s="6"/>
      <c r="CY176" s="6"/>
      <c r="CZ176" s="6"/>
      <c r="DA176" s="343">
        <f t="shared" si="6"/>
        <v>6.9</v>
      </c>
    </row>
    <row r="177" spans="1:105" ht="20" customHeight="1" x14ac:dyDescent="0.35">
      <c r="A177" s="301"/>
      <c r="B177" s="270" t="s">
        <v>1781</v>
      </c>
      <c r="C177" s="306" t="s">
        <v>1775</v>
      </c>
      <c r="D177" s="270" t="s">
        <v>646</v>
      </c>
      <c r="E177" s="270" t="s">
        <v>1776</v>
      </c>
      <c r="F177" s="270" t="s">
        <v>66</v>
      </c>
      <c r="G177" s="270" t="s">
        <v>44</v>
      </c>
      <c r="H177" s="349">
        <v>41</v>
      </c>
      <c r="I177" s="286"/>
      <c r="J177" s="292">
        <v>60</v>
      </c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7"/>
      <c r="AL177" s="288"/>
      <c r="AM177" s="287"/>
      <c r="AN177" s="287"/>
      <c r="AO177" s="287"/>
      <c r="AP177" s="286"/>
      <c r="AQ177" s="29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9"/>
      <c r="BT177" s="289"/>
      <c r="BU177" s="289"/>
      <c r="BV177" s="289"/>
      <c r="BW177" s="289"/>
      <c r="BX177" s="286"/>
      <c r="BY177" s="289"/>
      <c r="BZ177" s="289"/>
      <c r="CA177" s="289"/>
      <c r="CB177" s="289"/>
      <c r="CC177" s="289"/>
      <c r="CD177" s="289"/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289"/>
      <c r="CO177" s="287"/>
      <c r="CP177" s="287"/>
      <c r="CQ177" s="287">
        <v>48</v>
      </c>
      <c r="CR177" s="287"/>
      <c r="CS177" s="6"/>
      <c r="CT177" s="6"/>
      <c r="CU177" s="6"/>
      <c r="CV177" s="6"/>
      <c r="CW177" s="6"/>
      <c r="CX177" s="6"/>
      <c r="CY177" s="6"/>
      <c r="CZ177" s="6"/>
      <c r="DA177" s="343">
        <f t="shared" si="6"/>
        <v>41</v>
      </c>
    </row>
    <row r="178" spans="1:105" ht="20" customHeight="1" x14ac:dyDescent="0.35">
      <c r="A178" s="301" t="s">
        <v>2150</v>
      </c>
      <c r="B178" s="270" t="s">
        <v>2076</v>
      </c>
      <c r="C178" s="306" t="s">
        <v>2080</v>
      </c>
      <c r="D178" s="270" t="s">
        <v>34</v>
      </c>
      <c r="E178" s="270" t="s">
        <v>2081</v>
      </c>
      <c r="F178" s="270" t="s">
        <v>66</v>
      </c>
      <c r="G178" s="270" t="s">
        <v>38</v>
      </c>
      <c r="H178" s="349"/>
      <c r="I178" s="286">
        <v>45</v>
      </c>
      <c r="J178" s="292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7"/>
      <c r="AL178" s="288"/>
      <c r="AM178" s="287"/>
      <c r="AN178" s="287"/>
      <c r="AO178" s="287"/>
      <c r="AP178" s="286"/>
      <c r="AQ178" s="29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9"/>
      <c r="BT178" s="289"/>
      <c r="BU178" s="289"/>
      <c r="BV178" s="289"/>
      <c r="BW178" s="289"/>
      <c r="BX178" s="286"/>
      <c r="BY178" s="289"/>
      <c r="BZ178" s="289"/>
      <c r="CA178" s="289"/>
      <c r="CB178" s="289"/>
      <c r="CC178" s="289"/>
      <c r="CD178" s="289"/>
      <c r="CE178" s="289"/>
      <c r="CF178" s="289"/>
      <c r="CG178" s="289"/>
      <c r="CH178" s="289"/>
      <c r="CI178" s="289"/>
      <c r="CJ178" s="289"/>
      <c r="CK178" s="289"/>
      <c r="CL178" s="289"/>
      <c r="CM178" s="289"/>
      <c r="CN178" s="289"/>
      <c r="CO178" s="287"/>
      <c r="CP178" s="287"/>
      <c r="CQ178" s="287">
        <v>45</v>
      </c>
      <c r="CR178" s="287"/>
      <c r="CS178" s="6"/>
      <c r="CT178" s="6"/>
      <c r="CU178" s="6"/>
      <c r="CV178" s="6"/>
      <c r="CW178" s="6"/>
      <c r="CX178" s="6"/>
      <c r="CY178" s="6"/>
      <c r="CZ178" s="6"/>
      <c r="DA178" s="343"/>
    </row>
    <row r="179" spans="1:105" ht="20" customHeight="1" x14ac:dyDescent="0.35">
      <c r="A179" s="301">
        <v>522057</v>
      </c>
      <c r="B179" s="270" t="s">
        <v>2174</v>
      </c>
      <c r="C179" s="306" t="s">
        <v>2251</v>
      </c>
      <c r="D179" s="270" t="s">
        <v>34</v>
      </c>
      <c r="E179" s="270" t="s">
        <v>34</v>
      </c>
      <c r="F179" s="270" t="s">
        <v>1598</v>
      </c>
      <c r="G179" s="270" t="s">
        <v>44</v>
      </c>
      <c r="H179" s="349"/>
      <c r="I179" s="286">
        <v>18</v>
      </c>
      <c r="J179" s="292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7"/>
      <c r="AL179" s="288"/>
      <c r="AM179" s="287"/>
      <c r="AN179" s="287"/>
      <c r="AO179" s="287"/>
      <c r="AP179" s="286"/>
      <c r="AQ179" s="29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9"/>
      <c r="BT179" s="289"/>
      <c r="BU179" s="289"/>
      <c r="BV179" s="289"/>
      <c r="BW179" s="289"/>
      <c r="BX179" s="286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7"/>
      <c r="CP179" s="287"/>
      <c r="CQ179" s="287"/>
      <c r="CR179" s="287"/>
      <c r="CS179" s="6"/>
      <c r="CT179" s="6"/>
      <c r="CU179" s="6"/>
      <c r="CV179" s="6"/>
      <c r="CW179" s="6"/>
      <c r="CX179" s="6"/>
      <c r="CY179" s="6"/>
      <c r="CZ179" s="6"/>
      <c r="DA179" s="343"/>
    </row>
    <row r="180" spans="1:105" ht="20" customHeight="1" x14ac:dyDescent="0.35">
      <c r="A180" s="301"/>
      <c r="B180" s="270" t="s">
        <v>2175</v>
      </c>
      <c r="C180" s="306" t="s">
        <v>2177</v>
      </c>
      <c r="D180" s="270" t="s">
        <v>34</v>
      </c>
      <c r="E180" s="270" t="s">
        <v>34</v>
      </c>
      <c r="F180" s="270" t="s">
        <v>1598</v>
      </c>
      <c r="G180" s="270" t="s">
        <v>44</v>
      </c>
      <c r="H180" s="349"/>
      <c r="I180" s="286">
        <v>18</v>
      </c>
      <c r="J180" s="292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7"/>
      <c r="AL180" s="288"/>
      <c r="AM180" s="287"/>
      <c r="AN180" s="287"/>
      <c r="AO180" s="287"/>
      <c r="AP180" s="286"/>
      <c r="AQ180" s="29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9"/>
      <c r="BT180" s="289"/>
      <c r="BU180" s="289"/>
      <c r="BV180" s="289"/>
      <c r="BW180" s="289"/>
      <c r="BX180" s="286"/>
      <c r="BY180" s="289"/>
      <c r="BZ180" s="289"/>
      <c r="CA180" s="289"/>
      <c r="CB180" s="289"/>
      <c r="CC180" s="289"/>
      <c r="CD180" s="289"/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289"/>
      <c r="CO180" s="287"/>
      <c r="CP180" s="287"/>
      <c r="CQ180" s="287"/>
      <c r="CR180" s="287"/>
      <c r="CS180" s="6"/>
      <c r="CT180" s="6"/>
      <c r="CU180" s="6"/>
      <c r="CV180" s="6"/>
      <c r="CW180" s="6"/>
      <c r="CX180" s="6"/>
      <c r="CY180" s="6"/>
      <c r="CZ180" s="6"/>
      <c r="DA180" s="343"/>
    </row>
    <row r="181" spans="1:105" ht="20" customHeight="1" x14ac:dyDescent="0.35">
      <c r="A181" s="301"/>
      <c r="B181" s="270" t="s">
        <v>2176</v>
      </c>
      <c r="C181" s="306" t="s">
        <v>2178</v>
      </c>
      <c r="D181" s="270" t="s">
        <v>34</v>
      </c>
      <c r="E181" s="270" t="s">
        <v>34</v>
      </c>
      <c r="F181" s="270" t="s">
        <v>1598</v>
      </c>
      <c r="G181" s="270" t="s">
        <v>44</v>
      </c>
      <c r="H181" s="349"/>
      <c r="I181" s="286">
        <v>18</v>
      </c>
      <c r="J181" s="292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7"/>
      <c r="AL181" s="288"/>
      <c r="AM181" s="287"/>
      <c r="AN181" s="287"/>
      <c r="AO181" s="287"/>
      <c r="AP181" s="286"/>
      <c r="AQ181" s="29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9"/>
      <c r="BT181" s="289"/>
      <c r="BU181" s="289"/>
      <c r="BV181" s="289"/>
      <c r="BW181" s="289"/>
      <c r="BX181" s="286"/>
      <c r="BY181" s="289"/>
      <c r="BZ181" s="289"/>
      <c r="CA181" s="289"/>
      <c r="CB181" s="289"/>
      <c r="CC181" s="289"/>
      <c r="CD181" s="289"/>
      <c r="CE181" s="289"/>
      <c r="CF181" s="289"/>
      <c r="CG181" s="289"/>
      <c r="CH181" s="289"/>
      <c r="CI181" s="289"/>
      <c r="CJ181" s="289"/>
      <c r="CK181" s="289"/>
      <c r="CL181" s="289"/>
      <c r="CM181" s="289"/>
      <c r="CN181" s="289"/>
      <c r="CO181" s="287"/>
      <c r="CP181" s="287"/>
      <c r="CQ181" s="287"/>
      <c r="CR181" s="287"/>
      <c r="CS181" s="6"/>
      <c r="CT181" s="6"/>
      <c r="CU181" s="6"/>
      <c r="CV181" s="6"/>
      <c r="CW181" s="6"/>
      <c r="CX181" s="6"/>
      <c r="CY181" s="6"/>
      <c r="CZ181" s="6"/>
      <c r="DA181" s="343"/>
    </row>
    <row r="182" spans="1:105" ht="20" customHeight="1" x14ac:dyDescent="0.35">
      <c r="A182" s="301"/>
      <c r="B182" s="270" t="s">
        <v>2253</v>
      </c>
      <c r="C182" s="306" t="s">
        <v>2254</v>
      </c>
      <c r="D182" s="270" t="s">
        <v>34</v>
      </c>
      <c r="E182" s="270" t="s">
        <v>34</v>
      </c>
      <c r="F182" s="270" t="s">
        <v>1597</v>
      </c>
      <c r="G182" s="270" t="s">
        <v>44</v>
      </c>
      <c r="H182" s="349"/>
      <c r="I182" s="286"/>
      <c r="J182" s="292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>
        <v>8</v>
      </c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7"/>
      <c r="AL182" s="288"/>
      <c r="AM182" s="287"/>
      <c r="AN182" s="287"/>
      <c r="AO182" s="287"/>
      <c r="AP182" s="286"/>
      <c r="AQ182" s="29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9"/>
      <c r="BT182" s="289"/>
      <c r="BU182" s="289"/>
      <c r="BV182" s="289"/>
      <c r="BW182" s="289"/>
      <c r="BX182" s="286"/>
      <c r="BY182" s="289"/>
      <c r="BZ182" s="289"/>
      <c r="CA182" s="289"/>
      <c r="CB182" s="289"/>
      <c r="CC182" s="289"/>
      <c r="CD182" s="289"/>
      <c r="CE182" s="289"/>
      <c r="CF182" s="289"/>
      <c r="CG182" s="289"/>
      <c r="CH182" s="289"/>
      <c r="CI182" s="289"/>
      <c r="CJ182" s="289"/>
      <c r="CK182" s="289"/>
      <c r="CL182" s="289"/>
      <c r="CM182" s="289"/>
      <c r="CN182" s="289"/>
      <c r="CO182" s="287"/>
      <c r="CP182" s="287"/>
      <c r="CQ182" s="287"/>
      <c r="CR182" s="287"/>
      <c r="CS182" s="6"/>
      <c r="CT182" s="6"/>
      <c r="CU182" s="6"/>
      <c r="CV182" s="6"/>
      <c r="CW182" s="6"/>
      <c r="CX182" s="6"/>
      <c r="CY182" s="6"/>
      <c r="CZ182" s="6"/>
      <c r="DA182" s="343"/>
    </row>
    <row r="183" spans="1:105" ht="20" customHeight="1" x14ac:dyDescent="0.35">
      <c r="A183" s="290"/>
      <c r="B183" s="270" t="s">
        <v>827</v>
      </c>
      <c r="C183" s="270" t="s">
        <v>1635</v>
      </c>
      <c r="D183" s="270" t="s">
        <v>330</v>
      </c>
      <c r="E183" s="270" t="s">
        <v>217</v>
      </c>
      <c r="F183" s="270" t="s">
        <v>216</v>
      </c>
      <c r="G183" s="270" t="s">
        <v>91</v>
      </c>
      <c r="H183" s="349">
        <v>55</v>
      </c>
      <c r="I183" s="286">
        <v>0</v>
      </c>
      <c r="J183" s="286">
        <v>0</v>
      </c>
      <c r="K183" s="286"/>
      <c r="L183" s="286"/>
      <c r="M183" s="286"/>
      <c r="N183" s="286"/>
      <c r="O183" s="286"/>
      <c r="P183" s="286"/>
      <c r="Q183" s="286"/>
      <c r="R183" s="286"/>
      <c r="S183" s="286"/>
      <c r="T183" s="286">
        <v>0</v>
      </c>
      <c r="U183" s="286"/>
      <c r="V183" s="294"/>
      <c r="W183" s="286"/>
      <c r="X183" s="286"/>
      <c r="Y183" s="286"/>
      <c r="Z183" s="286"/>
      <c r="AA183" s="286"/>
      <c r="AB183" s="286"/>
      <c r="AC183" s="300">
        <v>68</v>
      </c>
      <c r="AD183" s="286"/>
      <c r="AE183" s="286"/>
      <c r="AF183" s="286"/>
      <c r="AG183" s="286"/>
      <c r="AH183" s="286"/>
      <c r="AI183" s="286"/>
      <c r="AJ183" s="286"/>
      <c r="AK183" s="287"/>
      <c r="AL183" s="288"/>
      <c r="AM183" s="287"/>
      <c r="AN183" s="287"/>
      <c r="AO183" s="287"/>
      <c r="AP183" s="286"/>
      <c r="AQ183" s="29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7"/>
      <c r="BE183" s="287"/>
      <c r="BF183" s="287"/>
      <c r="BG183" s="288">
        <v>66</v>
      </c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6"/>
      <c r="BY183" s="289"/>
      <c r="BZ183" s="289"/>
      <c r="CA183" s="289"/>
      <c r="CB183" s="289"/>
      <c r="CC183" s="289"/>
      <c r="CD183" s="289"/>
      <c r="CE183" s="289"/>
      <c r="CF183" s="289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6"/>
      <c r="CT183" s="6"/>
      <c r="CU183" s="6"/>
      <c r="CV183" s="6"/>
      <c r="CW183" s="6"/>
      <c r="CX183" s="6"/>
      <c r="CY183" s="6"/>
      <c r="CZ183" s="6"/>
      <c r="DA183" s="343">
        <f t="shared" si="6"/>
        <v>55</v>
      </c>
    </row>
    <row r="184" spans="1:105" ht="20" customHeight="1" x14ac:dyDescent="0.35">
      <c r="A184" s="290"/>
      <c r="B184" s="270" t="s">
        <v>828</v>
      </c>
      <c r="C184" s="270" t="s">
        <v>1635</v>
      </c>
      <c r="D184" s="270" t="s">
        <v>330</v>
      </c>
      <c r="E184" s="270" t="s">
        <v>54</v>
      </c>
      <c r="F184" s="273" t="s">
        <v>2040</v>
      </c>
      <c r="G184" s="270" t="s">
        <v>39</v>
      </c>
      <c r="H184" s="298">
        <v>9.6</v>
      </c>
      <c r="I184" s="286"/>
      <c r="J184" s="286"/>
      <c r="K184" s="286"/>
      <c r="L184" s="400">
        <v>13.8</v>
      </c>
      <c r="M184" s="286"/>
      <c r="N184" s="292">
        <v>13</v>
      </c>
      <c r="O184" s="286">
        <v>13.5</v>
      </c>
      <c r="P184" s="292">
        <v>13.5</v>
      </c>
      <c r="Q184" s="286">
        <v>12.5</v>
      </c>
      <c r="R184" s="286">
        <v>12.5</v>
      </c>
      <c r="S184" s="286">
        <v>14</v>
      </c>
      <c r="T184" s="286"/>
      <c r="U184" s="286"/>
      <c r="V184" s="313"/>
      <c r="W184" s="286"/>
      <c r="X184" s="286"/>
      <c r="Y184" s="286"/>
      <c r="Z184" s="286">
        <v>12</v>
      </c>
      <c r="AA184" s="286"/>
      <c r="AB184" s="286">
        <v>12.5</v>
      </c>
      <c r="AC184" s="286"/>
      <c r="AD184" s="286"/>
      <c r="AE184" s="286">
        <v>13</v>
      </c>
      <c r="AF184" s="286"/>
      <c r="AG184" s="286"/>
      <c r="AH184" s="286"/>
      <c r="AI184" s="286"/>
      <c r="AJ184" s="286">
        <v>12.5</v>
      </c>
      <c r="AK184" s="287"/>
      <c r="AL184" s="288"/>
      <c r="AM184" s="287"/>
      <c r="AN184" s="287"/>
      <c r="AO184" s="286"/>
      <c r="AP184" s="286"/>
      <c r="AQ184" s="296">
        <v>13.5</v>
      </c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7"/>
      <c r="BE184" s="287"/>
      <c r="BF184" s="287"/>
      <c r="BG184" s="288">
        <v>13</v>
      </c>
      <c r="BH184" s="287"/>
      <c r="BI184" s="287"/>
      <c r="BJ184" s="287"/>
      <c r="BK184" s="299">
        <v>13</v>
      </c>
      <c r="BL184" s="287"/>
      <c r="BM184" s="287"/>
      <c r="BN184" s="287"/>
      <c r="BO184" s="287"/>
      <c r="BP184" s="287"/>
      <c r="BQ184" s="287"/>
      <c r="BR184" s="287">
        <v>12</v>
      </c>
      <c r="BS184" s="287"/>
      <c r="BT184" s="287"/>
      <c r="BU184" s="287">
        <v>11.5</v>
      </c>
      <c r="BV184" s="287"/>
      <c r="BW184" s="287"/>
      <c r="BX184" s="286"/>
      <c r="BY184" s="289"/>
      <c r="BZ184" s="289">
        <v>13.5</v>
      </c>
      <c r="CA184" s="289"/>
      <c r="CB184" s="289"/>
      <c r="CC184" s="289">
        <v>12</v>
      </c>
      <c r="CD184" s="289"/>
      <c r="CE184" s="289"/>
      <c r="CF184" s="289">
        <v>15</v>
      </c>
      <c r="CG184" s="287"/>
      <c r="CH184" s="287"/>
      <c r="CI184" s="287"/>
      <c r="CJ184" s="287"/>
      <c r="CK184" s="287"/>
      <c r="CL184" s="287">
        <v>14</v>
      </c>
      <c r="CM184" s="287"/>
      <c r="CN184" s="287"/>
      <c r="CO184" s="287"/>
      <c r="CP184" s="287"/>
      <c r="CQ184" s="287"/>
      <c r="CR184" s="287">
        <v>14</v>
      </c>
      <c r="CS184" s="6"/>
      <c r="CT184" s="6"/>
      <c r="CU184" s="6"/>
      <c r="CV184" s="6"/>
      <c r="CW184" s="6"/>
      <c r="CX184" s="6"/>
      <c r="CY184" s="6"/>
      <c r="CZ184" s="6"/>
      <c r="DA184" s="343">
        <f t="shared" si="6"/>
        <v>9.6</v>
      </c>
    </row>
    <row r="185" spans="1:105" ht="20" customHeight="1" x14ac:dyDescent="0.35">
      <c r="A185" s="290">
        <v>520695</v>
      </c>
      <c r="B185" s="270" t="s">
        <v>829</v>
      </c>
      <c r="C185" s="270" t="s">
        <v>1635</v>
      </c>
      <c r="D185" s="297" t="s">
        <v>330</v>
      </c>
      <c r="E185" s="270" t="s">
        <v>54</v>
      </c>
      <c r="F185" s="273" t="s">
        <v>2041</v>
      </c>
      <c r="G185" s="270" t="s">
        <v>39</v>
      </c>
      <c r="H185" s="298">
        <v>7.3</v>
      </c>
      <c r="I185" s="292">
        <v>10</v>
      </c>
      <c r="J185" s="292">
        <v>9.5</v>
      </c>
      <c r="K185" s="286"/>
      <c r="L185" s="286"/>
      <c r="M185" s="286"/>
      <c r="N185" s="286"/>
      <c r="O185" s="286">
        <v>9.5</v>
      </c>
      <c r="P185" s="286"/>
      <c r="Q185" s="286"/>
      <c r="R185" s="286"/>
      <c r="S185" s="286"/>
      <c r="T185" s="286">
        <v>9.5</v>
      </c>
      <c r="U185" s="286"/>
      <c r="V185" s="313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>
        <v>9.5</v>
      </c>
      <c r="AJ185" s="286"/>
      <c r="AK185" s="295">
        <v>12</v>
      </c>
      <c r="AL185" s="286">
        <v>9.5</v>
      </c>
      <c r="AM185" s="287"/>
      <c r="AN185" s="287"/>
      <c r="AO185" s="286">
        <v>9.5</v>
      </c>
      <c r="AP185" s="286">
        <v>9.5</v>
      </c>
      <c r="AQ185" s="296"/>
      <c r="AR185" s="286">
        <v>9.5</v>
      </c>
      <c r="AS185" s="286"/>
      <c r="AT185" s="286">
        <v>9.5</v>
      </c>
      <c r="AU185" s="286">
        <v>9.5</v>
      </c>
      <c r="AV185" s="286">
        <v>9.5</v>
      </c>
      <c r="AW185" s="286">
        <v>9.5</v>
      </c>
      <c r="AX185" s="286">
        <v>9.5</v>
      </c>
      <c r="AY185" s="286">
        <v>9.5</v>
      </c>
      <c r="AZ185" s="286">
        <v>9.5</v>
      </c>
      <c r="BA185" s="286">
        <v>9.5</v>
      </c>
      <c r="BB185" s="286">
        <v>9.5</v>
      </c>
      <c r="BC185" s="286">
        <v>9.5</v>
      </c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6">
        <f>J185</f>
        <v>9.5</v>
      </c>
      <c r="BY185" s="289"/>
      <c r="BZ185" s="289"/>
      <c r="CA185" s="289"/>
      <c r="CB185" s="289"/>
      <c r="CC185" s="289"/>
      <c r="CD185" s="289"/>
      <c r="CE185" s="289"/>
      <c r="CF185" s="289"/>
      <c r="CG185" s="287"/>
      <c r="CH185" s="287"/>
      <c r="CI185" s="287"/>
      <c r="CJ185" s="287"/>
      <c r="CK185" s="287"/>
      <c r="CL185" s="287"/>
      <c r="CM185" s="286">
        <v>9.5</v>
      </c>
      <c r="CN185" s="292">
        <v>9.5</v>
      </c>
      <c r="CO185" s="292">
        <v>9.5</v>
      </c>
      <c r="CP185" s="287"/>
      <c r="CQ185" s="287">
        <v>10.5</v>
      </c>
      <c r="CR185" s="287"/>
      <c r="CS185" s="288">
        <f>I185</f>
        <v>10</v>
      </c>
      <c r="CT185" s="6"/>
      <c r="CU185" s="6"/>
      <c r="CV185" s="6"/>
      <c r="CW185" s="6"/>
      <c r="CX185" s="6"/>
      <c r="CY185" s="6"/>
      <c r="CZ185" s="6"/>
      <c r="DA185" s="343">
        <f t="shared" si="6"/>
        <v>7.3</v>
      </c>
    </row>
    <row r="186" spans="1:105" ht="20" customHeight="1" x14ac:dyDescent="0.35">
      <c r="A186" s="290" t="s">
        <v>2112</v>
      </c>
      <c r="B186" s="270" t="s">
        <v>829</v>
      </c>
      <c r="C186" s="270" t="s">
        <v>1635</v>
      </c>
      <c r="D186" s="297" t="s">
        <v>330</v>
      </c>
      <c r="E186" s="270" t="s">
        <v>54</v>
      </c>
      <c r="F186" s="273" t="s">
        <v>2041</v>
      </c>
      <c r="G186" s="270" t="s">
        <v>39</v>
      </c>
      <c r="H186" s="298">
        <v>7.3</v>
      </c>
      <c r="I186" s="292">
        <v>10</v>
      </c>
      <c r="J186" s="292">
        <v>9.5</v>
      </c>
      <c r="K186" s="286"/>
      <c r="L186" s="286"/>
      <c r="M186" s="286"/>
      <c r="N186" s="286"/>
      <c r="O186" s="286">
        <v>9.5</v>
      </c>
      <c r="P186" s="286"/>
      <c r="Q186" s="286"/>
      <c r="R186" s="286"/>
      <c r="S186" s="286"/>
      <c r="T186" s="286">
        <v>9.5</v>
      </c>
      <c r="U186" s="286"/>
      <c r="V186" s="313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>
        <v>9.5</v>
      </c>
      <c r="AJ186" s="286"/>
      <c r="AK186" s="295">
        <v>12</v>
      </c>
      <c r="AL186" s="286">
        <v>9.5</v>
      </c>
      <c r="AM186" s="287"/>
      <c r="AN186" s="287"/>
      <c r="AO186" s="286">
        <v>9.5</v>
      </c>
      <c r="AP186" s="286">
        <v>9.5</v>
      </c>
      <c r="AQ186" s="296"/>
      <c r="AR186" s="286">
        <v>9.5</v>
      </c>
      <c r="AS186" s="286"/>
      <c r="AT186" s="286">
        <v>9.5</v>
      </c>
      <c r="AU186" s="286">
        <v>9.5</v>
      </c>
      <c r="AV186" s="286">
        <v>9.5</v>
      </c>
      <c r="AW186" s="286">
        <v>9.5</v>
      </c>
      <c r="AX186" s="286">
        <v>9.5</v>
      </c>
      <c r="AY186" s="286">
        <v>9.5</v>
      </c>
      <c r="AZ186" s="286">
        <v>9.5</v>
      </c>
      <c r="BA186" s="286">
        <v>9.5</v>
      </c>
      <c r="BB186" s="286">
        <v>9.5</v>
      </c>
      <c r="BC186" s="286">
        <v>9.5</v>
      </c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6">
        <f>J186</f>
        <v>9.5</v>
      </c>
      <c r="BY186" s="289"/>
      <c r="BZ186" s="289"/>
      <c r="CA186" s="289"/>
      <c r="CB186" s="289"/>
      <c r="CC186" s="289"/>
      <c r="CD186" s="289"/>
      <c r="CE186" s="289"/>
      <c r="CF186" s="289"/>
      <c r="CG186" s="287"/>
      <c r="CH186" s="287"/>
      <c r="CI186" s="287"/>
      <c r="CJ186" s="287"/>
      <c r="CK186" s="287"/>
      <c r="CL186" s="287"/>
      <c r="CM186" s="286">
        <v>9.5</v>
      </c>
      <c r="CN186" s="292">
        <v>9.5</v>
      </c>
      <c r="CO186" s="292">
        <v>9.5</v>
      </c>
      <c r="CP186" s="287"/>
      <c r="CQ186" s="287">
        <v>10.5</v>
      </c>
      <c r="CR186" s="287"/>
      <c r="CS186" s="288">
        <f>I186</f>
        <v>10</v>
      </c>
      <c r="CT186" s="6"/>
      <c r="CU186" s="6"/>
      <c r="CV186" s="6"/>
      <c r="CW186" s="6"/>
      <c r="CX186" s="6"/>
      <c r="CY186" s="6"/>
      <c r="CZ186" s="6"/>
      <c r="DA186" s="343">
        <f>H186</f>
        <v>7.3</v>
      </c>
    </row>
    <row r="187" spans="1:105" ht="20" customHeight="1" x14ac:dyDescent="0.35">
      <c r="A187" s="290"/>
      <c r="B187" s="270" t="s">
        <v>830</v>
      </c>
      <c r="C187" s="270" t="s">
        <v>1635</v>
      </c>
      <c r="D187" s="270"/>
      <c r="E187" s="270" t="s">
        <v>54</v>
      </c>
      <c r="F187" s="270" t="s">
        <v>645</v>
      </c>
      <c r="G187" s="270" t="s">
        <v>39</v>
      </c>
      <c r="H187" s="298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313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7"/>
      <c r="AL187" s="288"/>
      <c r="AM187" s="287"/>
      <c r="AN187" s="287"/>
      <c r="AO187" s="286"/>
      <c r="AP187" s="286"/>
      <c r="AQ187" s="29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6"/>
      <c r="BY187" s="289"/>
      <c r="BZ187" s="289"/>
      <c r="CA187" s="289"/>
      <c r="CB187" s="289"/>
      <c r="CC187" s="289"/>
      <c r="CD187" s="289"/>
      <c r="CE187" s="289"/>
      <c r="CF187" s="289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6"/>
      <c r="CT187" s="6"/>
      <c r="CU187" s="6"/>
      <c r="CV187" s="6"/>
      <c r="CW187" s="6"/>
      <c r="CX187" s="6"/>
      <c r="CY187" s="6"/>
      <c r="CZ187" s="6"/>
      <c r="DA187" s="343">
        <f t="shared" si="6"/>
        <v>0</v>
      </c>
    </row>
    <row r="188" spans="1:105" ht="20" customHeight="1" x14ac:dyDescent="0.35">
      <c r="A188" s="290">
        <v>520705</v>
      </c>
      <c r="B188" s="270" t="s">
        <v>831</v>
      </c>
      <c r="C188" s="270" t="s">
        <v>662</v>
      </c>
      <c r="D188" s="297" t="s">
        <v>535</v>
      </c>
      <c r="E188" s="270" t="s">
        <v>596</v>
      </c>
      <c r="F188" s="270" t="s">
        <v>2200</v>
      </c>
      <c r="G188" s="270" t="s">
        <v>38</v>
      </c>
      <c r="H188" s="298">
        <v>4</v>
      </c>
      <c r="I188" s="300">
        <v>6</v>
      </c>
      <c r="J188" s="292">
        <v>6</v>
      </c>
      <c r="K188" s="286"/>
      <c r="L188" s="286">
        <v>6</v>
      </c>
      <c r="M188" s="286"/>
      <c r="N188" s="292">
        <v>6</v>
      </c>
      <c r="O188" s="286">
        <v>6</v>
      </c>
      <c r="P188" s="292">
        <v>6.5</v>
      </c>
      <c r="Q188" s="286">
        <v>6</v>
      </c>
      <c r="R188" s="286">
        <v>6</v>
      </c>
      <c r="S188" s="286">
        <v>6.5</v>
      </c>
      <c r="T188" s="286">
        <v>6</v>
      </c>
      <c r="U188" s="286">
        <v>6</v>
      </c>
      <c r="V188" s="294"/>
      <c r="W188" s="286"/>
      <c r="X188" s="286"/>
      <c r="Y188" s="286"/>
      <c r="Z188" s="286"/>
      <c r="AA188" s="286"/>
      <c r="AB188" s="286">
        <v>6</v>
      </c>
      <c r="AC188" s="286">
        <v>6</v>
      </c>
      <c r="AD188" s="286"/>
      <c r="AE188" s="286">
        <v>6</v>
      </c>
      <c r="AF188" s="286"/>
      <c r="AG188" s="286"/>
      <c r="AH188" s="286"/>
      <c r="AI188" s="286">
        <v>6</v>
      </c>
      <c r="AJ188" s="286">
        <v>6</v>
      </c>
      <c r="AK188" s="295">
        <v>6</v>
      </c>
      <c r="AL188" s="288"/>
      <c r="AM188" s="287">
        <v>6</v>
      </c>
      <c r="AN188" s="287"/>
      <c r="AO188" s="287"/>
      <c r="AP188" s="286">
        <v>6</v>
      </c>
      <c r="AQ188" s="296">
        <v>6</v>
      </c>
      <c r="AR188" s="286">
        <v>6</v>
      </c>
      <c r="AS188" s="286"/>
      <c r="AT188" s="286">
        <v>6</v>
      </c>
      <c r="AU188" s="286">
        <v>6</v>
      </c>
      <c r="AV188" s="286">
        <v>6</v>
      </c>
      <c r="AW188" s="286">
        <v>6</v>
      </c>
      <c r="AX188" s="286">
        <v>6</v>
      </c>
      <c r="AY188" s="286">
        <v>6</v>
      </c>
      <c r="AZ188" s="286">
        <v>6</v>
      </c>
      <c r="BA188" s="286">
        <v>6</v>
      </c>
      <c r="BB188" s="286">
        <v>6</v>
      </c>
      <c r="BC188" s="286">
        <v>6</v>
      </c>
      <c r="BD188" s="287"/>
      <c r="BE188" s="286">
        <v>6</v>
      </c>
      <c r="BF188" s="287"/>
      <c r="BG188" s="288">
        <v>7</v>
      </c>
      <c r="BH188" s="287"/>
      <c r="BI188" s="287"/>
      <c r="BJ188" s="287">
        <v>6</v>
      </c>
      <c r="BK188" s="299">
        <v>7</v>
      </c>
      <c r="BL188" s="287">
        <v>7</v>
      </c>
      <c r="BM188" s="287"/>
      <c r="BN188" s="287"/>
      <c r="BO188" s="287"/>
      <c r="BP188" s="287"/>
      <c r="BQ188" s="287"/>
      <c r="BR188" s="287">
        <v>6.5</v>
      </c>
      <c r="BS188" s="287"/>
      <c r="BT188" s="287"/>
      <c r="BU188" s="287">
        <v>6.5</v>
      </c>
      <c r="BV188" s="287"/>
      <c r="BW188" s="287"/>
      <c r="BX188" s="286">
        <f>J188</f>
        <v>6</v>
      </c>
      <c r="BY188" s="289">
        <v>6</v>
      </c>
      <c r="BZ188" s="289"/>
      <c r="CA188" s="289"/>
      <c r="CB188" s="289"/>
      <c r="CC188" s="289"/>
      <c r="CD188" s="289"/>
      <c r="CE188" s="289"/>
      <c r="CF188" s="289"/>
      <c r="CG188" s="287"/>
      <c r="CH188" s="287"/>
      <c r="CI188" s="287"/>
      <c r="CJ188" s="287"/>
      <c r="CK188" s="287"/>
      <c r="CL188" s="287">
        <v>6.5</v>
      </c>
      <c r="CM188" s="292">
        <v>6</v>
      </c>
      <c r="CN188" s="292">
        <v>6</v>
      </c>
      <c r="CO188" s="292">
        <v>6</v>
      </c>
      <c r="CP188" s="287"/>
      <c r="CQ188" s="287">
        <v>6</v>
      </c>
      <c r="CR188" s="287">
        <v>6</v>
      </c>
      <c r="CS188" s="288">
        <f>I188</f>
        <v>6</v>
      </c>
      <c r="CT188" s="6"/>
      <c r="CU188" s="6"/>
      <c r="CV188" s="6"/>
      <c r="CW188" s="6"/>
      <c r="CX188" s="6"/>
      <c r="CY188" s="6"/>
      <c r="CZ188" s="6"/>
      <c r="DA188" s="343">
        <f t="shared" si="6"/>
        <v>4</v>
      </c>
    </row>
    <row r="189" spans="1:105" ht="20" customHeight="1" x14ac:dyDescent="0.35">
      <c r="A189" s="290"/>
      <c r="B189" s="270" t="s">
        <v>2148</v>
      </c>
      <c r="C189" s="270" t="s">
        <v>662</v>
      </c>
      <c r="D189" s="297" t="s">
        <v>535</v>
      </c>
      <c r="E189" s="270" t="s">
        <v>596</v>
      </c>
      <c r="F189" s="270" t="s">
        <v>1598</v>
      </c>
      <c r="G189" s="270" t="s">
        <v>38</v>
      </c>
      <c r="H189" s="298">
        <v>1</v>
      </c>
      <c r="I189" s="296">
        <v>1.35</v>
      </c>
      <c r="J189" s="292"/>
      <c r="K189" s="286"/>
      <c r="L189" s="286">
        <v>1.5</v>
      </c>
      <c r="M189" s="286"/>
      <c r="N189" s="292"/>
      <c r="O189" s="286"/>
      <c r="P189" s="292"/>
      <c r="Q189" s="286"/>
      <c r="R189" s="286"/>
      <c r="S189" s="286">
        <v>1.5</v>
      </c>
      <c r="T189" s="286"/>
      <c r="U189" s="286"/>
      <c r="V189" s="294"/>
      <c r="W189" s="286"/>
      <c r="X189" s="286"/>
      <c r="Y189" s="286"/>
      <c r="Z189" s="286"/>
      <c r="AA189" s="286"/>
      <c r="AB189" s="286">
        <v>1.3</v>
      </c>
      <c r="AC189" s="286"/>
      <c r="AD189" s="286"/>
      <c r="AE189" s="286">
        <v>1.2</v>
      </c>
      <c r="AF189" s="286"/>
      <c r="AG189" s="286"/>
      <c r="AH189" s="286"/>
      <c r="AI189" s="286"/>
      <c r="AJ189" s="286">
        <v>1.3</v>
      </c>
      <c r="AK189" s="295"/>
      <c r="AL189" s="288"/>
      <c r="AM189" s="287">
        <v>1.2</v>
      </c>
      <c r="AN189" s="287"/>
      <c r="AO189" s="287"/>
      <c r="AP189" s="286"/>
      <c r="AQ189" s="296">
        <v>1.3</v>
      </c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7"/>
      <c r="BE189" s="286"/>
      <c r="BF189" s="287"/>
      <c r="BG189" s="288"/>
      <c r="BH189" s="287"/>
      <c r="BI189" s="287"/>
      <c r="BJ189" s="287"/>
      <c r="BK189" s="299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>
        <v>1.3</v>
      </c>
      <c r="BV189" s="287"/>
      <c r="BW189" s="287"/>
      <c r="BX189" s="286"/>
      <c r="BY189" s="289">
        <v>1.4</v>
      </c>
      <c r="BZ189" s="289"/>
      <c r="CA189" s="289"/>
      <c r="CB189" s="289"/>
      <c r="CC189" s="289"/>
      <c r="CD189" s="289"/>
      <c r="CE189" s="289"/>
      <c r="CF189" s="289"/>
      <c r="CG189" s="287"/>
      <c r="CH189" s="287"/>
      <c r="CI189" s="287"/>
      <c r="CJ189" s="287"/>
      <c r="CK189" s="287"/>
      <c r="CL189" s="287">
        <v>1.4</v>
      </c>
      <c r="CM189" s="292"/>
      <c r="CN189" s="292"/>
      <c r="CO189" s="292"/>
      <c r="CP189" s="287"/>
      <c r="CQ189" s="287"/>
      <c r="CR189" s="287">
        <v>1.3</v>
      </c>
      <c r="CS189" s="288">
        <f>I189</f>
        <v>1.35</v>
      </c>
      <c r="CT189" s="6"/>
      <c r="CU189" s="6"/>
      <c r="CV189" s="6"/>
      <c r="CW189" s="6"/>
      <c r="CX189" s="6"/>
      <c r="CY189" s="6"/>
      <c r="CZ189" s="6"/>
      <c r="DA189" s="343">
        <f>H189</f>
        <v>1</v>
      </c>
    </row>
    <row r="190" spans="1:105" ht="20" customHeight="1" x14ac:dyDescent="0.35">
      <c r="A190" s="290" t="s">
        <v>404</v>
      </c>
      <c r="B190" s="270" t="s">
        <v>832</v>
      </c>
      <c r="C190" s="270" t="s">
        <v>243</v>
      </c>
      <c r="D190" s="297" t="s">
        <v>46</v>
      </c>
      <c r="E190" s="270" t="s">
        <v>48</v>
      </c>
      <c r="F190" s="270" t="s">
        <v>622</v>
      </c>
      <c r="G190" s="270" t="s">
        <v>39</v>
      </c>
      <c r="H190" s="298">
        <f>175/25/2</f>
        <v>3.5</v>
      </c>
      <c r="I190" s="292">
        <v>6</v>
      </c>
      <c r="J190" s="292">
        <v>6</v>
      </c>
      <c r="K190" s="286"/>
      <c r="L190" s="286"/>
      <c r="M190" s="286"/>
      <c r="N190" s="286"/>
      <c r="O190" s="286">
        <v>6</v>
      </c>
      <c r="P190" s="292">
        <v>6</v>
      </c>
      <c r="Q190" s="286">
        <v>6</v>
      </c>
      <c r="R190" s="286">
        <v>6</v>
      </c>
      <c r="S190" s="286"/>
      <c r="T190" s="286">
        <v>6</v>
      </c>
      <c r="U190" s="286"/>
      <c r="V190" s="294"/>
      <c r="W190" s="286"/>
      <c r="X190" s="286"/>
      <c r="Y190" s="286">
        <v>8.5</v>
      </c>
      <c r="Z190" s="286"/>
      <c r="AA190" s="286"/>
      <c r="AB190" s="286"/>
      <c r="AC190" s="286">
        <v>6</v>
      </c>
      <c r="AD190" s="286"/>
      <c r="AE190" s="286"/>
      <c r="AF190" s="286"/>
      <c r="AG190" s="286"/>
      <c r="AH190" s="286"/>
      <c r="AI190" s="286"/>
      <c r="AJ190" s="286"/>
      <c r="AK190" s="295">
        <v>6.5</v>
      </c>
      <c r="AL190" s="288"/>
      <c r="AM190" s="287"/>
      <c r="AN190" s="287"/>
      <c r="AO190" s="287"/>
      <c r="AP190" s="286">
        <v>6</v>
      </c>
      <c r="AQ190" s="296"/>
      <c r="AR190" s="286">
        <v>6</v>
      </c>
      <c r="AS190" s="286"/>
      <c r="AT190" s="286">
        <v>6</v>
      </c>
      <c r="AU190" s="286">
        <v>6</v>
      </c>
      <c r="AV190" s="286">
        <v>6</v>
      </c>
      <c r="AW190" s="286">
        <v>6</v>
      </c>
      <c r="AX190" s="286">
        <v>6</v>
      </c>
      <c r="AY190" s="286">
        <v>6</v>
      </c>
      <c r="AZ190" s="286">
        <v>6</v>
      </c>
      <c r="BA190" s="286">
        <v>6</v>
      </c>
      <c r="BB190" s="286">
        <f>BA190</f>
        <v>6</v>
      </c>
      <c r="BC190" s="286">
        <v>6</v>
      </c>
      <c r="BD190" s="287"/>
      <c r="BE190" s="287"/>
      <c r="BF190" s="287"/>
      <c r="BG190" s="287"/>
      <c r="BH190" s="286">
        <v>6</v>
      </c>
      <c r="BI190" s="287"/>
      <c r="BJ190" s="287"/>
      <c r="BK190" s="299">
        <v>7</v>
      </c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6"/>
      <c r="BY190" s="289"/>
      <c r="BZ190" s="289">
        <v>7</v>
      </c>
      <c r="CA190" s="289"/>
      <c r="CB190" s="289"/>
      <c r="CC190" s="289"/>
      <c r="CD190" s="289"/>
      <c r="CE190" s="289"/>
      <c r="CF190" s="289"/>
      <c r="CG190" s="287"/>
      <c r="CH190" s="287"/>
      <c r="CI190" s="287"/>
      <c r="CJ190" s="287"/>
      <c r="CK190" s="287"/>
      <c r="CL190" s="287"/>
      <c r="CM190" s="287"/>
      <c r="CN190" s="292">
        <v>6</v>
      </c>
      <c r="CO190" s="292">
        <v>6</v>
      </c>
      <c r="CP190" s="287"/>
      <c r="CQ190" s="287">
        <v>7.5</v>
      </c>
      <c r="CR190" s="287">
        <v>7</v>
      </c>
      <c r="CS190" s="288">
        <f>I190</f>
        <v>6</v>
      </c>
      <c r="CT190" s="6"/>
      <c r="CU190" s="6"/>
      <c r="CV190" s="6"/>
      <c r="CW190" s="6"/>
      <c r="CX190" s="6"/>
      <c r="CY190" s="6"/>
      <c r="CZ190" s="6"/>
      <c r="DA190" s="343">
        <f t="shared" si="6"/>
        <v>3.5</v>
      </c>
    </row>
    <row r="191" spans="1:105" ht="20" customHeight="1" x14ac:dyDescent="0.35">
      <c r="A191" s="290" t="s">
        <v>2125</v>
      </c>
      <c r="B191" s="270" t="s">
        <v>832</v>
      </c>
      <c r="C191" s="270" t="s">
        <v>243</v>
      </c>
      <c r="D191" s="297" t="s">
        <v>46</v>
      </c>
      <c r="E191" s="270" t="s">
        <v>48</v>
      </c>
      <c r="F191" s="270" t="s">
        <v>622</v>
      </c>
      <c r="G191" s="270" t="s">
        <v>39</v>
      </c>
      <c r="H191" s="298">
        <f>175/25/2</f>
        <v>3.5</v>
      </c>
      <c r="I191" s="292"/>
      <c r="J191" s="292"/>
      <c r="K191" s="286"/>
      <c r="L191" s="286"/>
      <c r="M191" s="286"/>
      <c r="N191" s="286"/>
      <c r="O191" s="286"/>
      <c r="P191" s="292"/>
      <c r="Q191" s="286"/>
      <c r="R191" s="286"/>
      <c r="S191" s="286"/>
      <c r="T191" s="286"/>
      <c r="U191" s="286"/>
      <c r="V191" s="294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95"/>
      <c r="AL191" s="288"/>
      <c r="AM191" s="287"/>
      <c r="AN191" s="287"/>
      <c r="AO191" s="287"/>
      <c r="AP191" s="286"/>
      <c r="AQ191" s="29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7"/>
      <c r="BE191" s="287"/>
      <c r="BF191" s="287"/>
      <c r="BG191" s="287"/>
      <c r="BH191" s="286"/>
      <c r="BI191" s="287"/>
      <c r="BJ191" s="287"/>
      <c r="BK191" s="299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6"/>
      <c r="BY191" s="289"/>
      <c r="BZ191" s="289"/>
      <c r="CA191" s="289"/>
      <c r="CB191" s="289"/>
      <c r="CC191" s="289"/>
      <c r="CD191" s="289"/>
      <c r="CE191" s="289"/>
      <c r="CF191" s="289"/>
      <c r="CG191" s="287"/>
      <c r="CH191" s="287"/>
      <c r="CI191" s="287"/>
      <c r="CJ191" s="287"/>
      <c r="CK191" s="287"/>
      <c r="CL191" s="287"/>
      <c r="CM191" s="287"/>
      <c r="CN191" s="287"/>
      <c r="CO191" s="292"/>
      <c r="CP191" s="287"/>
      <c r="CQ191" s="287">
        <v>7.5</v>
      </c>
      <c r="CR191" s="287"/>
      <c r="CS191" s="288">
        <f>I191</f>
        <v>0</v>
      </c>
      <c r="CT191" s="6"/>
      <c r="CU191" s="6"/>
      <c r="CV191" s="6"/>
      <c r="CW191" s="6"/>
      <c r="CX191" s="6"/>
      <c r="CY191" s="6"/>
      <c r="CZ191" s="6"/>
      <c r="DA191" s="343">
        <f>H191</f>
        <v>3.5</v>
      </c>
    </row>
    <row r="192" spans="1:105" ht="20" customHeight="1" x14ac:dyDescent="0.35">
      <c r="A192" s="290">
        <v>4000002756</v>
      </c>
      <c r="B192" s="270" t="s">
        <v>1289</v>
      </c>
      <c r="C192" s="270" t="s">
        <v>243</v>
      </c>
      <c r="D192" s="297" t="s">
        <v>46</v>
      </c>
      <c r="E192" s="270" t="s">
        <v>48</v>
      </c>
      <c r="F192" s="270" t="s">
        <v>66</v>
      </c>
      <c r="G192" s="270" t="s">
        <v>39</v>
      </c>
      <c r="H192" s="298">
        <f>H190*2</f>
        <v>7</v>
      </c>
      <c r="I192" s="292"/>
      <c r="J192" s="286"/>
      <c r="K192" s="286">
        <v>13</v>
      </c>
      <c r="L192" s="286"/>
      <c r="M192" s="286"/>
      <c r="N192" s="286"/>
      <c r="O192" s="286"/>
      <c r="P192" s="292"/>
      <c r="Q192" s="286"/>
      <c r="R192" s="286"/>
      <c r="S192" s="286"/>
      <c r="T192" s="286"/>
      <c r="U192" s="286"/>
      <c r="V192" s="294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7"/>
      <c r="AL192" s="288"/>
      <c r="AM192" s="287"/>
      <c r="AN192" s="287"/>
      <c r="AO192" s="287"/>
      <c r="AP192" s="286"/>
      <c r="AQ192" s="29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7"/>
      <c r="BE192" s="287"/>
      <c r="BF192" s="287"/>
      <c r="BG192" s="288">
        <v>12</v>
      </c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6"/>
      <c r="BY192" s="289"/>
      <c r="BZ192" s="289"/>
      <c r="CA192" s="289"/>
      <c r="CB192" s="289"/>
      <c r="CC192" s="289"/>
      <c r="CD192" s="289"/>
      <c r="CE192" s="289"/>
      <c r="CF192" s="289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6"/>
      <c r="CT192" s="6"/>
      <c r="CU192" s="6"/>
      <c r="CV192" s="6"/>
      <c r="CW192" s="6"/>
      <c r="CX192" s="6"/>
      <c r="CY192" s="6"/>
      <c r="CZ192" s="6"/>
      <c r="DA192" s="343">
        <f t="shared" si="6"/>
        <v>7</v>
      </c>
    </row>
    <row r="193" spans="1:105" ht="20" customHeight="1" x14ac:dyDescent="0.35">
      <c r="A193" s="314"/>
      <c r="B193" s="270" t="s">
        <v>833</v>
      </c>
      <c r="C193" s="270" t="s">
        <v>1636</v>
      </c>
      <c r="D193" s="297" t="s">
        <v>653</v>
      </c>
      <c r="E193" s="270" t="s">
        <v>34</v>
      </c>
      <c r="F193" s="270" t="s">
        <v>1845</v>
      </c>
      <c r="G193" s="270" t="s">
        <v>36</v>
      </c>
      <c r="H193" s="349">
        <v>36</v>
      </c>
      <c r="I193" s="292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94"/>
      <c r="W193" s="286"/>
      <c r="X193" s="286"/>
      <c r="Y193" s="286"/>
      <c r="Z193" s="286"/>
      <c r="AA193" s="286"/>
      <c r="AB193" s="286"/>
      <c r="AC193" s="286"/>
      <c r="AD193" s="286"/>
      <c r="AE193" s="286">
        <v>50</v>
      </c>
      <c r="AF193" s="286"/>
      <c r="AG193" s="286"/>
      <c r="AH193" s="286"/>
      <c r="AI193" s="286"/>
      <c r="AJ193" s="286"/>
      <c r="AK193" s="287"/>
      <c r="AL193" s="288"/>
      <c r="AM193" s="287"/>
      <c r="AN193" s="287"/>
      <c r="AO193" s="287"/>
      <c r="AP193" s="286"/>
      <c r="AQ193" s="29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>
        <v>50</v>
      </c>
      <c r="BS193" s="287"/>
      <c r="BT193" s="287"/>
      <c r="BU193" s="287"/>
      <c r="BV193" s="287"/>
      <c r="BW193" s="287"/>
      <c r="BX193" s="286"/>
      <c r="BY193" s="289"/>
      <c r="BZ193" s="289"/>
      <c r="CA193" s="289"/>
      <c r="CB193" s="289"/>
      <c r="CC193" s="289"/>
      <c r="CD193" s="289"/>
      <c r="CE193" s="289"/>
      <c r="CF193" s="289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6"/>
      <c r="CT193" s="6"/>
      <c r="CU193" s="6"/>
      <c r="CV193" s="6"/>
      <c r="CW193" s="6"/>
      <c r="CX193" s="6"/>
      <c r="CY193" s="6"/>
      <c r="CZ193" s="6"/>
      <c r="DA193" s="343">
        <f t="shared" si="6"/>
        <v>36</v>
      </c>
    </row>
    <row r="194" spans="1:105" ht="20" customHeight="1" x14ac:dyDescent="0.35">
      <c r="A194" s="290">
        <v>520721</v>
      </c>
      <c r="B194" s="270" t="s">
        <v>834</v>
      </c>
      <c r="C194" s="270" t="s">
        <v>1636</v>
      </c>
      <c r="D194" s="297" t="s">
        <v>653</v>
      </c>
      <c r="E194" s="270" t="s">
        <v>34</v>
      </c>
      <c r="F194" s="270" t="s">
        <v>1844</v>
      </c>
      <c r="G194" s="270" t="s">
        <v>38</v>
      </c>
      <c r="H194" s="298">
        <f>H193/12</f>
        <v>3</v>
      </c>
      <c r="I194" s="300">
        <v>4.5</v>
      </c>
      <c r="J194" s="292">
        <v>5</v>
      </c>
      <c r="K194" s="286"/>
      <c r="L194" s="286"/>
      <c r="M194" s="286"/>
      <c r="N194" s="292">
        <f>15/3</f>
        <v>5</v>
      </c>
      <c r="O194" s="286"/>
      <c r="P194" s="286"/>
      <c r="Q194" s="286"/>
      <c r="R194" s="286"/>
      <c r="S194" s="286"/>
      <c r="T194" s="286"/>
      <c r="U194" s="286"/>
      <c r="V194" s="294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>
        <v>5</v>
      </c>
      <c r="AK194" s="295">
        <v>4.5</v>
      </c>
      <c r="AL194" s="288"/>
      <c r="AM194" s="287"/>
      <c r="AN194" s="287"/>
      <c r="AO194" s="287"/>
      <c r="AP194" s="286"/>
      <c r="AQ194" s="296">
        <v>4.5</v>
      </c>
      <c r="AR194" s="286">
        <v>5</v>
      </c>
      <c r="AS194" s="286"/>
      <c r="AT194" s="286">
        <v>5</v>
      </c>
      <c r="AU194" s="286"/>
      <c r="AV194" s="286"/>
      <c r="AW194" s="286">
        <v>5</v>
      </c>
      <c r="AX194" s="286">
        <v>5</v>
      </c>
      <c r="AY194" s="286">
        <v>5</v>
      </c>
      <c r="AZ194" s="286"/>
      <c r="BA194" s="286">
        <v>5</v>
      </c>
      <c r="BB194" s="286"/>
      <c r="BC194" s="286">
        <v>5</v>
      </c>
      <c r="BD194" s="287"/>
      <c r="BE194" s="287"/>
      <c r="BF194" s="287"/>
      <c r="BG194" s="288">
        <v>4.2</v>
      </c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>
        <v>5</v>
      </c>
      <c r="BV194" s="287"/>
      <c r="BW194" s="287"/>
      <c r="BX194" s="286"/>
      <c r="BY194" s="289"/>
      <c r="BZ194" s="289"/>
      <c r="CA194" s="289"/>
      <c r="CB194" s="289"/>
      <c r="CC194" s="289"/>
      <c r="CD194" s="289"/>
      <c r="CE194" s="289"/>
      <c r="CF194" s="289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>
        <v>4.5</v>
      </c>
      <c r="CR194" s="307"/>
      <c r="CS194" s="315">
        <v>4.5</v>
      </c>
      <c r="CT194" s="6"/>
      <c r="CU194" s="6"/>
      <c r="CV194" s="6"/>
      <c r="CW194" s="6"/>
      <c r="CX194" s="6"/>
      <c r="CY194" s="6"/>
      <c r="CZ194" s="6"/>
      <c r="DA194" s="343">
        <f t="shared" si="6"/>
        <v>3</v>
      </c>
    </row>
    <row r="195" spans="1:105" ht="20" customHeight="1" x14ac:dyDescent="0.35">
      <c r="A195" s="290" t="s">
        <v>2096</v>
      </c>
      <c r="B195" s="270" t="s">
        <v>834</v>
      </c>
      <c r="C195" s="270" t="s">
        <v>1636</v>
      </c>
      <c r="D195" s="297" t="s">
        <v>653</v>
      </c>
      <c r="E195" s="270" t="s">
        <v>34</v>
      </c>
      <c r="F195" s="270" t="s">
        <v>1844</v>
      </c>
      <c r="G195" s="270" t="s">
        <v>38</v>
      </c>
      <c r="H195" s="298">
        <f>H194/12</f>
        <v>0.25</v>
      </c>
      <c r="I195" s="300"/>
      <c r="J195" s="292"/>
      <c r="K195" s="286"/>
      <c r="L195" s="286"/>
      <c r="M195" s="286"/>
      <c r="N195" s="292"/>
      <c r="O195" s="286"/>
      <c r="P195" s="286"/>
      <c r="Q195" s="286"/>
      <c r="R195" s="286"/>
      <c r="S195" s="286"/>
      <c r="T195" s="286"/>
      <c r="U195" s="286"/>
      <c r="V195" s="294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95"/>
      <c r="AL195" s="288"/>
      <c r="AM195" s="287"/>
      <c r="AN195" s="287"/>
      <c r="AO195" s="287"/>
      <c r="AP195" s="286"/>
      <c r="AQ195" s="29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7"/>
      <c r="BE195" s="287"/>
      <c r="BF195" s="287"/>
      <c r="BG195" s="288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6"/>
      <c r="BY195" s="289"/>
      <c r="BZ195" s="289"/>
      <c r="CA195" s="289"/>
      <c r="CB195" s="289"/>
      <c r="CC195" s="289"/>
      <c r="CD195" s="289"/>
      <c r="CE195" s="289"/>
      <c r="CF195" s="289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>
        <v>4.5</v>
      </c>
      <c r="CR195" s="307"/>
      <c r="CS195" s="315">
        <v>4.5</v>
      </c>
      <c r="CT195" s="6"/>
      <c r="CU195" s="6"/>
      <c r="CV195" s="6"/>
      <c r="CW195" s="6"/>
      <c r="CX195" s="6"/>
      <c r="CY195" s="6"/>
      <c r="CZ195" s="6"/>
      <c r="DA195" s="343">
        <f>H195</f>
        <v>0.25</v>
      </c>
    </row>
    <row r="196" spans="1:105" ht="20" customHeight="1" x14ac:dyDescent="0.35">
      <c r="A196" s="316">
        <v>4000005589</v>
      </c>
      <c r="B196" s="270" t="s">
        <v>835</v>
      </c>
      <c r="C196" s="270" t="s">
        <v>1637</v>
      </c>
      <c r="D196" s="270" t="s">
        <v>653</v>
      </c>
      <c r="E196" s="270" t="s">
        <v>34</v>
      </c>
      <c r="F196" s="270" t="s">
        <v>1846</v>
      </c>
      <c r="G196" s="270" t="s">
        <v>39</v>
      </c>
      <c r="H196" s="349">
        <f>2.5*25</f>
        <v>62.5</v>
      </c>
      <c r="I196" s="286"/>
      <c r="J196" s="286"/>
      <c r="K196" s="286">
        <v>90</v>
      </c>
      <c r="L196" s="286"/>
      <c r="M196" s="286"/>
      <c r="N196" s="286"/>
      <c r="O196" s="286">
        <v>78</v>
      </c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7"/>
      <c r="AL196" s="288"/>
      <c r="AM196" s="287"/>
      <c r="AN196" s="287"/>
      <c r="AO196" s="287"/>
      <c r="AP196" s="286"/>
      <c r="AQ196" s="29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6"/>
      <c r="BY196" s="289"/>
      <c r="BZ196" s="289"/>
      <c r="CA196" s="289"/>
      <c r="CB196" s="289"/>
      <c r="CC196" s="289"/>
      <c r="CD196" s="289"/>
      <c r="CE196" s="289"/>
      <c r="CF196" s="289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6"/>
      <c r="CT196" s="6"/>
      <c r="CU196" s="6"/>
      <c r="CV196" s="6"/>
      <c r="CW196" s="6"/>
      <c r="CX196" s="6"/>
      <c r="CY196" s="6"/>
      <c r="CZ196" s="6"/>
      <c r="DA196" s="343">
        <f t="shared" si="6"/>
        <v>62.5</v>
      </c>
    </row>
    <row r="197" spans="1:105" ht="20" customHeight="1" x14ac:dyDescent="0.35">
      <c r="A197" s="290">
        <v>520738</v>
      </c>
      <c r="B197" s="270" t="s">
        <v>836</v>
      </c>
      <c r="C197" s="270" t="s">
        <v>1638</v>
      </c>
      <c r="D197" s="297" t="s">
        <v>653</v>
      </c>
      <c r="E197" s="270" t="s">
        <v>34</v>
      </c>
      <c r="F197" s="270" t="s">
        <v>636</v>
      </c>
      <c r="G197" s="270" t="s">
        <v>39</v>
      </c>
      <c r="H197" s="298">
        <f>H196/25*5</f>
        <v>12.5</v>
      </c>
      <c r="I197" s="300">
        <v>17.5</v>
      </c>
      <c r="J197" s="292">
        <v>17.5</v>
      </c>
      <c r="K197" s="286"/>
      <c r="L197" s="286"/>
      <c r="M197" s="286"/>
      <c r="N197" s="292">
        <v>19.5</v>
      </c>
      <c r="O197" s="286">
        <v>19.5</v>
      </c>
      <c r="P197" s="292">
        <v>19.5</v>
      </c>
      <c r="Q197" s="286">
        <v>19.5</v>
      </c>
      <c r="R197" s="286">
        <v>19</v>
      </c>
      <c r="S197" s="286">
        <v>20</v>
      </c>
      <c r="T197" s="286"/>
      <c r="U197" s="286"/>
      <c r="V197" s="294"/>
      <c r="W197" s="286"/>
      <c r="X197" s="286"/>
      <c r="Y197" s="286"/>
      <c r="Z197" s="286"/>
      <c r="AA197" s="286"/>
      <c r="AB197" s="300">
        <v>19</v>
      </c>
      <c r="AC197" s="286"/>
      <c r="AD197" s="286"/>
      <c r="AE197" s="300"/>
      <c r="AF197" s="300"/>
      <c r="AG197" s="300">
        <v>19</v>
      </c>
      <c r="AH197" s="286"/>
      <c r="AI197" s="286"/>
      <c r="AJ197" s="286"/>
      <c r="AK197" s="295">
        <v>18</v>
      </c>
      <c r="AL197" s="288"/>
      <c r="AM197" s="287">
        <v>19</v>
      </c>
      <c r="AN197" s="287"/>
      <c r="AO197" s="287"/>
      <c r="AP197" s="300">
        <v>17.5</v>
      </c>
      <c r="AQ197" s="296">
        <v>18</v>
      </c>
      <c r="AR197" s="286"/>
      <c r="AS197" s="286"/>
      <c r="AT197" s="300">
        <v>17.5</v>
      </c>
      <c r="AU197" s="300">
        <v>17.5</v>
      </c>
      <c r="AV197" s="300">
        <v>17.5</v>
      </c>
      <c r="AW197" s="300">
        <v>17.5</v>
      </c>
      <c r="AX197" s="300">
        <v>17.5</v>
      </c>
      <c r="AY197" s="300">
        <v>17.5</v>
      </c>
      <c r="AZ197" s="300"/>
      <c r="BA197" s="300">
        <v>17.5</v>
      </c>
      <c r="BB197" s="286">
        <f>BA197</f>
        <v>17.5</v>
      </c>
      <c r="BC197" s="300">
        <v>17.5</v>
      </c>
      <c r="BD197" s="289">
        <v>21</v>
      </c>
      <c r="BE197" s="299">
        <v>17.5</v>
      </c>
      <c r="BF197" s="287"/>
      <c r="BG197" s="288">
        <v>18</v>
      </c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6"/>
      <c r="BY197" s="289"/>
      <c r="BZ197" s="289">
        <v>19</v>
      </c>
      <c r="CA197" s="289"/>
      <c r="CB197" s="289"/>
      <c r="CC197" s="289"/>
      <c r="CD197" s="289"/>
      <c r="CE197" s="289"/>
      <c r="CF197" s="289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>
        <v>17.5</v>
      </c>
      <c r="CR197" s="307">
        <v>18</v>
      </c>
      <c r="CS197" s="315">
        <v>17.5</v>
      </c>
      <c r="CT197" s="6"/>
      <c r="CU197" s="6"/>
      <c r="CV197" s="6"/>
      <c r="CW197" s="6"/>
      <c r="CX197" s="6"/>
      <c r="CY197" s="6"/>
      <c r="CZ197" s="6"/>
      <c r="DA197" s="343">
        <f t="shared" si="6"/>
        <v>12.5</v>
      </c>
    </row>
    <row r="198" spans="1:105" ht="20" customHeight="1" x14ac:dyDescent="0.35">
      <c r="A198" s="309"/>
      <c r="B198" s="270" t="s">
        <v>837</v>
      </c>
      <c r="C198" s="270" t="s">
        <v>1637</v>
      </c>
      <c r="D198" s="270"/>
      <c r="E198" s="270" t="s">
        <v>34</v>
      </c>
      <c r="F198" s="270" t="s">
        <v>1072</v>
      </c>
      <c r="G198" s="270" t="s">
        <v>39</v>
      </c>
      <c r="H198" s="298">
        <f>H196/25*2</f>
        <v>5</v>
      </c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94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7"/>
      <c r="AL198" s="288"/>
      <c r="AM198" s="287"/>
      <c r="AN198" s="287"/>
      <c r="AO198" s="287"/>
      <c r="AP198" s="286"/>
      <c r="AQ198" s="29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6"/>
      <c r="BY198" s="289"/>
      <c r="BZ198" s="289"/>
      <c r="CA198" s="289"/>
      <c r="CB198" s="289"/>
      <c r="CC198" s="289"/>
      <c r="CD198" s="289"/>
      <c r="CE198" s="289"/>
      <c r="CF198" s="289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6"/>
      <c r="CT198" s="6"/>
      <c r="CU198" s="6"/>
      <c r="CV198" s="6"/>
      <c r="CW198" s="6"/>
      <c r="CX198" s="6"/>
      <c r="CY198" s="6"/>
      <c r="CZ198" s="6"/>
      <c r="DA198" s="343">
        <f t="shared" si="6"/>
        <v>5</v>
      </c>
    </row>
    <row r="199" spans="1:105" ht="20" customHeight="1" x14ac:dyDescent="0.35">
      <c r="A199" s="301"/>
      <c r="B199" s="270" t="s">
        <v>838</v>
      </c>
      <c r="C199" s="270" t="s">
        <v>1637</v>
      </c>
      <c r="D199" s="270"/>
      <c r="E199" s="270" t="s">
        <v>34</v>
      </c>
      <c r="F199" s="270" t="s">
        <v>637</v>
      </c>
      <c r="G199" s="270" t="s">
        <v>39</v>
      </c>
      <c r="H199" s="298">
        <f>H196/25*3</f>
        <v>7.5</v>
      </c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94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7"/>
      <c r="AL199" s="288"/>
      <c r="AM199" s="287"/>
      <c r="AN199" s="287"/>
      <c r="AO199" s="287"/>
      <c r="AP199" s="286"/>
      <c r="AQ199" s="29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6"/>
      <c r="BY199" s="289"/>
      <c r="BZ199" s="289"/>
      <c r="CA199" s="289"/>
      <c r="CB199" s="289"/>
      <c r="CC199" s="289"/>
      <c r="CD199" s="289"/>
      <c r="CE199" s="289"/>
      <c r="CF199" s="289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6"/>
      <c r="CT199" s="6"/>
      <c r="CU199" s="6"/>
      <c r="CV199" s="6"/>
      <c r="CW199" s="6"/>
      <c r="CX199" s="6"/>
      <c r="CY199" s="6"/>
      <c r="CZ199" s="6"/>
      <c r="DA199" s="343">
        <f t="shared" si="6"/>
        <v>7.5</v>
      </c>
    </row>
    <row r="200" spans="1:105" ht="20" customHeight="1" x14ac:dyDescent="0.35">
      <c r="A200" s="301"/>
      <c r="B200" s="270" t="s">
        <v>839</v>
      </c>
      <c r="C200" s="270" t="s">
        <v>1637</v>
      </c>
      <c r="D200" s="270"/>
      <c r="E200" s="270" t="s">
        <v>34</v>
      </c>
      <c r="F200" s="270" t="s">
        <v>66</v>
      </c>
      <c r="G200" s="270" t="s">
        <v>39</v>
      </c>
      <c r="H200" s="298">
        <f>H196/25</f>
        <v>2.5</v>
      </c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94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7"/>
      <c r="AL200" s="288"/>
      <c r="AM200" s="287"/>
      <c r="AN200" s="287"/>
      <c r="AO200" s="287"/>
      <c r="AP200" s="286"/>
      <c r="AQ200" s="29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6"/>
      <c r="BY200" s="289"/>
      <c r="BZ200" s="289"/>
      <c r="CA200" s="289"/>
      <c r="CB200" s="289"/>
      <c r="CC200" s="289"/>
      <c r="CD200" s="289"/>
      <c r="CE200" s="289"/>
      <c r="CF200" s="289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6"/>
      <c r="CT200" s="6"/>
      <c r="CU200" s="6"/>
      <c r="CV200" s="6"/>
      <c r="CW200" s="6"/>
      <c r="CX200" s="6"/>
      <c r="CY200" s="6"/>
      <c r="CZ200" s="6"/>
      <c r="DA200" s="343">
        <f t="shared" si="6"/>
        <v>2.5</v>
      </c>
    </row>
    <row r="201" spans="1:105" ht="20" customHeight="1" x14ac:dyDescent="0.35">
      <c r="A201" s="301"/>
      <c r="B201" s="306" t="s">
        <v>1268</v>
      </c>
      <c r="C201" s="270" t="s">
        <v>1637</v>
      </c>
      <c r="D201" s="270" t="s">
        <v>653</v>
      </c>
      <c r="E201" s="270" t="s">
        <v>34</v>
      </c>
      <c r="F201" s="270" t="s">
        <v>1843</v>
      </c>
      <c r="G201" s="270" t="s">
        <v>39</v>
      </c>
      <c r="H201" s="298">
        <f>H200*2.5</f>
        <v>6.25</v>
      </c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94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7"/>
      <c r="AL201" s="288"/>
      <c r="AM201" s="287"/>
      <c r="AN201" s="287"/>
      <c r="AO201" s="287"/>
      <c r="AP201" s="286"/>
      <c r="AQ201" s="29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6"/>
      <c r="BY201" s="289"/>
      <c r="BZ201" s="289"/>
      <c r="CA201" s="289"/>
      <c r="CB201" s="289"/>
      <c r="CC201" s="289"/>
      <c r="CD201" s="289"/>
      <c r="CE201" s="289"/>
      <c r="CF201" s="289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6"/>
      <c r="CT201" s="6"/>
      <c r="CU201" s="6"/>
      <c r="CV201" s="6"/>
      <c r="CW201" s="6"/>
      <c r="CX201" s="6"/>
      <c r="CY201" s="6"/>
      <c r="CZ201" s="6"/>
      <c r="DA201" s="343">
        <f t="shared" si="6"/>
        <v>6.25</v>
      </c>
    </row>
    <row r="202" spans="1:105" ht="20" customHeight="1" x14ac:dyDescent="0.35">
      <c r="A202" s="301"/>
      <c r="B202" s="270" t="s">
        <v>840</v>
      </c>
      <c r="C202" s="270" t="s">
        <v>1639</v>
      </c>
      <c r="D202" s="297" t="s">
        <v>653</v>
      </c>
      <c r="E202" s="270" t="s">
        <v>34</v>
      </c>
      <c r="F202" s="270" t="s">
        <v>443</v>
      </c>
      <c r="G202" s="270" t="s">
        <v>39</v>
      </c>
      <c r="H202" s="349">
        <f>2.55*25</f>
        <v>63.749999999999993</v>
      </c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94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95"/>
      <c r="AL202" s="288"/>
      <c r="AM202" s="287"/>
      <c r="AN202" s="287"/>
      <c r="AO202" s="287"/>
      <c r="AP202" s="286"/>
      <c r="AQ202" s="296">
        <v>18</v>
      </c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7"/>
      <c r="BE202" s="287"/>
      <c r="BF202" s="287"/>
      <c r="BG202" s="287"/>
      <c r="BH202" s="287"/>
      <c r="BI202" s="287"/>
      <c r="BJ202" s="287"/>
      <c r="BK202" s="287"/>
      <c r="BL202" s="287"/>
      <c r="BM202" s="287"/>
      <c r="BN202" s="287"/>
      <c r="BO202" s="287"/>
      <c r="BP202" s="287"/>
      <c r="BQ202" s="287"/>
      <c r="BR202" s="287"/>
      <c r="BS202" s="287"/>
      <c r="BT202" s="287"/>
      <c r="BU202" s="287"/>
      <c r="BV202" s="287"/>
      <c r="BW202" s="287"/>
      <c r="BX202" s="286"/>
      <c r="BY202" s="289"/>
      <c r="BZ202" s="289"/>
      <c r="CA202" s="289"/>
      <c r="CB202" s="289"/>
      <c r="CC202" s="289"/>
      <c r="CD202" s="289"/>
      <c r="CE202" s="289"/>
      <c r="CF202" s="289"/>
      <c r="CG202" s="287"/>
      <c r="CH202" s="287"/>
      <c r="CI202" s="287"/>
      <c r="CJ202" s="287"/>
      <c r="CK202" s="287"/>
      <c r="CL202" s="287"/>
      <c r="CM202" s="287"/>
      <c r="CN202" s="287"/>
      <c r="CO202" s="287"/>
      <c r="CP202" s="287"/>
      <c r="CQ202" s="287"/>
      <c r="CR202" s="287"/>
      <c r="CS202" s="6"/>
      <c r="CT202" s="6"/>
      <c r="CU202" s="6"/>
      <c r="CV202" s="6"/>
      <c r="CW202" s="6"/>
      <c r="CX202" s="6"/>
      <c r="CY202" s="6"/>
      <c r="CZ202" s="6"/>
      <c r="DA202" s="343">
        <f t="shared" si="6"/>
        <v>63.749999999999993</v>
      </c>
    </row>
    <row r="203" spans="1:105" ht="20" customHeight="1" x14ac:dyDescent="0.35">
      <c r="A203" s="290" t="s">
        <v>2097</v>
      </c>
      <c r="B203" s="270" t="s">
        <v>841</v>
      </c>
      <c r="C203" s="270" t="s">
        <v>1639</v>
      </c>
      <c r="D203" s="297" t="s">
        <v>653</v>
      </c>
      <c r="E203" s="270" t="s">
        <v>34</v>
      </c>
      <c r="F203" s="270" t="s">
        <v>636</v>
      </c>
      <c r="G203" s="270" t="s">
        <v>39</v>
      </c>
      <c r="H203" s="298">
        <f>H202/25*5</f>
        <v>12.75</v>
      </c>
      <c r="I203" s="292"/>
      <c r="J203" s="292">
        <v>17.5</v>
      </c>
      <c r="K203" s="286"/>
      <c r="L203" s="286">
        <v>20</v>
      </c>
      <c r="M203" s="286"/>
      <c r="N203" s="286"/>
      <c r="O203" s="286">
        <v>0</v>
      </c>
      <c r="P203" s="286">
        <v>0</v>
      </c>
      <c r="Q203" s="286">
        <v>0</v>
      </c>
      <c r="R203" s="286">
        <v>0</v>
      </c>
      <c r="S203" s="286">
        <v>0</v>
      </c>
      <c r="T203" s="286">
        <v>17.5</v>
      </c>
      <c r="U203" s="286"/>
      <c r="V203" s="294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>
        <v>17.5</v>
      </c>
      <c r="AJ203" s="286"/>
      <c r="AK203" s="287">
        <v>18</v>
      </c>
      <c r="AL203" s="288">
        <v>17.5</v>
      </c>
      <c r="AM203" s="287"/>
      <c r="AN203" s="287"/>
      <c r="AO203" s="286">
        <v>17.5</v>
      </c>
      <c r="AP203" s="286">
        <v>17.5</v>
      </c>
      <c r="AQ203" s="296"/>
      <c r="AR203" s="286">
        <v>17.5</v>
      </c>
      <c r="AS203" s="286"/>
      <c r="AT203" s="286"/>
      <c r="AU203" s="286"/>
      <c r="AV203" s="286"/>
      <c r="AW203" s="286"/>
      <c r="AX203" s="286"/>
      <c r="AY203" s="286"/>
      <c r="AZ203" s="286">
        <v>17.5</v>
      </c>
      <c r="BA203" s="286"/>
      <c r="BB203" s="286"/>
      <c r="BC203" s="286"/>
      <c r="BD203" s="287"/>
      <c r="BE203" s="287"/>
      <c r="BF203" s="287"/>
      <c r="BG203" s="288">
        <v>18</v>
      </c>
      <c r="BH203" s="286">
        <v>17.5</v>
      </c>
      <c r="BI203" s="287"/>
      <c r="BJ203" s="287"/>
      <c r="BK203" s="287"/>
      <c r="BL203" s="287"/>
      <c r="BM203" s="287"/>
      <c r="BN203" s="287"/>
      <c r="BO203" s="287"/>
      <c r="BP203" s="287"/>
      <c r="BQ203" s="287"/>
      <c r="BR203" s="287"/>
      <c r="BS203" s="287"/>
      <c r="BT203" s="287"/>
      <c r="BU203" s="287">
        <v>20</v>
      </c>
      <c r="BV203" s="287"/>
      <c r="BW203" s="287"/>
      <c r="BX203" s="286">
        <v>17.5</v>
      </c>
      <c r="BY203" s="289"/>
      <c r="BZ203" s="289"/>
      <c r="CA203" s="289"/>
      <c r="CB203" s="289">
        <v>20</v>
      </c>
      <c r="CC203" s="289"/>
      <c r="CD203" s="289"/>
      <c r="CE203" s="289"/>
      <c r="CF203" s="289"/>
      <c r="CG203" s="287"/>
      <c r="CH203" s="287"/>
      <c r="CI203" s="287"/>
      <c r="CJ203" s="287"/>
      <c r="CK203" s="287"/>
      <c r="CL203" s="287"/>
      <c r="CM203" s="287">
        <v>17.5</v>
      </c>
      <c r="CN203" s="292">
        <v>17.5</v>
      </c>
      <c r="CO203" s="292">
        <v>17.5</v>
      </c>
      <c r="CP203" s="287"/>
      <c r="CQ203" s="287">
        <v>17.5</v>
      </c>
      <c r="CR203" s="292">
        <v>17.5</v>
      </c>
      <c r="CS203" s="6"/>
      <c r="CT203" s="6"/>
      <c r="CU203" s="6"/>
      <c r="CV203" s="6"/>
      <c r="CW203" s="6"/>
      <c r="CX203" s="6"/>
      <c r="CY203" s="6"/>
      <c r="CZ203" s="6"/>
      <c r="DA203" s="343">
        <f t="shared" si="6"/>
        <v>12.75</v>
      </c>
    </row>
    <row r="204" spans="1:105" ht="20" customHeight="1" x14ac:dyDescent="0.35">
      <c r="A204" s="301"/>
      <c r="B204" s="270" t="s">
        <v>842</v>
      </c>
      <c r="C204" s="270" t="s">
        <v>1639</v>
      </c>
      <c r="D204" s="270"/>
      <c r="E204" s="270" t="s">
        <v>34</v>
      </c>
      <c r="F204" s="270" t="s">
        <v>1843</v>
      </c>
      <c r="G204" s="270" t="s">
        <v>39</v>
      </c>
      <c r="H204" s="298">
        <f>H202/25*2.5</f>
        <v>6.375</v>
      </c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94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7"/>
      <c r="AL204" s="288"/>
      <c r="AM204" s="287"/>
      <c r="AN204" s="287"/>
      <c r="AO204" s="286"/>
      <c r="AP204" s="286"/>
      <c r="AQ204" s="29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7"/>
      <c r="BE204" s="287"/>
      <c r="BF204" s="287"/>
      <c r="BG204" s="287"/>
      <c r="BH204" s="287"/>
      <c r="BI204" s="287"/>
      <c r="BJ204" s="287"/>
      <c r="BK204" s="287"/>
      <c r="BL204" s="287"/>
      <c r="BM204" s="287"/>
      <c r="BN204" s="287"/>
      <c r="BO204" s="287"/>
      <c r="BP204" s="287"/>
      <c r="BQ204" s="287"/>
      <c r="BR204" s="287"/>
      <c r="BS204" s="287"/>
      <c r="BT204" s="287"/>
      <c r="BU204" s="287"/>
      <c r="BV204" s="287"/>
      <c r="BW204" s="287"/>
      <c r="BX204" s="286"/>
      <c r="BY204" s="289"/>
      <c r="BZ204" s="289"/>
      <c r="CA204" s="289"/>
      <c r="CB204" s="289"/>
      <c r="CC204" s="289"/>
      <c r="CD204" s="289"/>
      <c r="CE204" s="289"/>
      <c r="CF204" s="289"/>
      <c r="CG204" s="287"/>
      <c r="CH204" s="287"/>
      <c r="CI204" s="287"/>
      <c r="CJ204" s="287"/>
      <c r="CK204" s="287"/>
      <c r="CL204" s="287"/>
      <c r="CM204" s="287"/>
      <c r="CN204" s="287"/>
      <c r="CO204" s="287"/>
      <c r="CP204" s="287"/>
      <c r="CQ204" s="287"/>
      <c r="CR204" s="287"/>
      <c r="CS204" s="6"/>
      <c r="CT204" s="6"/>
      <c r="CU204" s="6"/>
      <c r="CV204" s="6"/>
      <c r="CW204" s="6"/>
      <c r="CX204" s="6"/>
      <c r="CY204" s="6"/>
      <c r="CZ204" s="6"/>
      <c r="DA204" s="343">
        <f t="shared" si="6"/>
        <v>6.375</v>
      </c>
    </row>
    <row r="205" spans="1:105" ht="20" customHeight="1" x14ac:dyDescent="0.35">
      <c r="A205" s="301"/>
      <c r="B205" s="270" t="s">
        <v>1168</v>
      </c>
      <c r="C205" s="270" t="s">
        <v>1639</v>
      </c>
      <c r="D205" s="270"/>
      <c r="E205" s="270" t="s">
        <v>34</v>
      </c>
      <c r="F205" s="270" t="s">
        <v>66</v>
      </c>
      <c r="G205" s="270" t="s">
        <v>39</v>
      </c>
      <c r="H205" s="298">
        <f>H202/25</f>
        <v>2.5499999999999998</v>
      </c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94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7"/>
      <c r="AL205" s="288"/>
      <c r="AM205" s="287"/>
      <c r="AN205" s="287"/>
      <c r="AO205" s="286"/>
      <c r="AP205" s="286"/>
      <c r="AQ205" s="29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7"/>
      <c r="BE205" s="287"/>
      <c r="BF205" s="287"/>
      <c r="BG205" s="287"/>
      <c r="BH205" s="287"/>
      <c r="BI205" s="287"/>
      <c r="BJ205" s="287"/>
      <c r="BK205" s="287"/>
      <c r="BL205" s="287"/>
      <c r="BM205" s="287"/>
      <c r="BN205" s="287"/>
      <c r="BO205" s="287"/>
      <c r="BP205" s="287"/>
      <c r="BQ205" s="287"/>
      <c r="BR205" s="287"/>
      <c r="BS205" s="287"/>
      <c r="BT205" s="287"/>
      <c r="BU205" s="287"/>
      <c r="BV205" s="287"/>
      <c r="BW205" s="287"/>
      <c r="BX205" s="286"/>
      <c r="BY205" s="289"/>
      <c r="BZ205" s="289"/>
      <c r="CA205" s="289"/>
      <c r="CB205" s="289"/>
      <c r="CC205" s="289"/>
      <c r="CD205" s="289"/>
      <c r="CE205" s="289"/>
      <c r="CF205" s="289"/>
      <c r="CG205" s="287"/>
      <c r="CH205" s="287"/>
      <c r="CI205" s="287"/>
      <c r="CJ205" s="287"/>
      <c r="CK205" s="287"/>
      <c r="CL205" s="287"/>
      <c r="CM205" s="287"/>
      <c r="CN205" s="287"/>
      <c r="CO205" s="287"/>
      <c r="CP205" s="287"/>
      <c r="CQ205" s="287"/>
      <c r="CR205" s="287"/>
      <c r="CS205" s="6"/>
      <c r="CT205" s="6"/>
      <c r="CU205" s="6"/>
      <c r="CV205" s="6"/>
      <c r="CW205" s="6"/>
      <c r="CX205" s="6"/>
      <c r="CY205" s="6"/>
      <c r="CZ205" s="6"/>
      <c r="DA205" s="343">
        <f t="shared" si="6"/>
        <v>2.5499999999999998</v>
      </c>
    </row>
    <row r="206" spans="1:105" ht="20" customHeight="1" x14ac:dyDescent="0.35">
      <c r="A206" s="301"/>
      <c r="B206" s="270" t="s">
        <v>843</v>
      </c>
      <c r="C206" s="270" t="s">
        <v>2122</v>
      </c>
      <c r="D206" s="270"/>
      <c r="E206" s="270" t="s">
        <v>34</v>
      </c>
      <c r="F206" s="270" t="s">
        <v>443</v>
      </c>
      <c r="G206" s="270" t="s">
        <v>39</v>
      </c>
      <c r="H206" s="298">
        <v>87.5</v>
      </c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94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7"/>
      <c r="AL206" s="288"/>
      <c r="AM206" s="287"/>
      <c r="AN206" s="287"/>
      <c r="AO206" s="286"/>
      <c r="AP206" s="286"/>
      <c r="AQ206" s="29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286"/>
      <c r="BB206" s="286"/>
      <c r="BC206" s="286"/>
      <c r="BD206" s="287"/>
      <c r="BE206" s="287"/>
      <c r="BF206" s="287"/>
      <c r="BG206" s="287"/>
      <c r="BH206" s="287"/>
      <c r="BI206" s="287"/>
      <c r="BJ206" s="287"/>
      <c r="BK206" s="287"/>
      <c r="BL206" s="287"/>
      <c r="BM206" s="287"/>
      <c r="BN206" s="287"/>
      <c r="BO206" s="287"/>
      <c r="BP206" s="287"/>
      <c r="BQ206" s="287"/>
      <c r="BR206" s="287"/>
      <c r="BS206" s="287"/>
      <c r="BT206" s="287"/>
      <c r="BU206" s="287"/>
      <c r="BV206" s="287"/>
      <c r="BW206" s="287"/>
      <c r="BX206" s="286"/>
      <c r="BY206" s="289"/>
      <c r="BZ206" s="289"/>
      <c r="CA206" s="289"/>
      <c r="CB206" s="289"/>
      <c r="CC206" s="289"/>
      <c r="CD206" s="289"/>
      <c r="CE206" s="289"/>
      <c r="CF206" s="289"/>
      <c r="CG206" s="287"/>
      <c r="CH206" s="287"/>
      <c r="CI206" s="287"/>
      <c r="CJ206" s="287"/>
      <c r="CK206" s="287"/>
      <c r="CL206" s="287"/>
      <c r="CM206" s="287"/>
      <c r="CN206" s="287"/>
      <c r="CO206" s="287"/>
      <c r="CP206" s="287"/>
      <c r="CQ206" s="287"/>
      <c r="CR206" s="287"/>
      <c r="CS206" s="6"/>
      <c r="CT206" s="6"/>
      <c r="CU206" s="6"/>
      <c r="CV206" s="6"/>
      <c r="CW206" s="6"/>
      <c r="CX206" s="6"/>
      <c r="CY206" s="6"/>
      <c r="CZ206" s="6"/>
      <c r="DA206" s="343">
        <f t="shared" si="6"/>
        <v>87.5</v>
      </c>
    </row>
    <row r="207" spans="1:105" ht="20" customHeight="1" x14ac:dyDescent="0.35">
      <c r="A207" s="301"/>
      <c r="B207" s="270" t="s">
        <v>844</v>
      </c>
      <c r="C207" s="270" t="s">
        <v>397</v>
      </c>
      <c r="D207" s="270"/>
      <c r="E207" s="270" t="s">
        <v>34</v>
      </c>
      <c r="F207" s="270" t="s">
        <v>636</v>
      </c>
      <c r="G207" s="270" t="s">
        <v>39</v>
      </c>
      <c r="H207" s="298">
        <f>H206/25*5</f>
        <v>17.5</v>
      </c>
      <c r="I207" s="286">
        <v>0</v>
      </c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7">
        <v>19</v>
      </c>
      <c r="AL207" s="288"/>
      <c r="AM207" s="287"/>
      <c r="AN207" s="287"/>
      <c r="AO207" s="287"/>
      <c r="AP207" s="286"/>
      <c r="AQ207" s="29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7"/>
      <c r="BE207" s="287"/>
      <c r="BF207" s="287"/>
      <c r="BG207" s="287"/>
      <c r="BH207" s="287"/>
      <c r="BI207" s="287"/>
      <c r="BJ207" s="287"/>
      <c r="BK207" s="287"/>
      <c r="BL207" s="287"/>
      <c r="BM207" s="287"/>
      <c r="BN207" s="287"/>
      <c r="BO207" s="287"/>
      <c r="BP207" s="287"/>
      <c r="BQ207" s="287"/>
      <c r="BR207" s="287"/>
      <c r="BS207" s="287"/>
      <c r="BT207" s="287"/>
      <c r="BU207" s="287"/>
      <c r="BV207" s="287"/>
      <c r="BW207" s="287"/>
      <c r="BX207" s="286"/>
      <c r="BY207" s="289"/>
      <c r="BZ207" s="289"/>
      <c r="CA207" s="289"/>
      <c r="CB207" s="289"/>
      <c r="CC207" s="289"/>
      <c r="CD207" s="289"/>
      <c r="CE207" s="289"/>
      <c r="CF207" s="289"/>
      <c r="CG207" s="287"/>
      <c r="CH207" s="287"/>
      <c r="CI207" s="287"/>
      <c r="CJ207" s="287"/>
      <c r="CK207" s="287"/>
      <c r="CL207" s="287"/>
      <c r="CM207" s="287"/>
      <c r="CN207" s="287"/>
      <c r="CO207" s="287"/>
      <c r="CP207" s="287"/>
      <c r="CQ207" s="287"/>
      <c r="CR207" s="287"/>
      <c r="CS207" s="6"/>
      <c r="CT207" s="6"/>
      <c r="CU207" s="6"/>
      <c r="CV207" s="6"/>
      <c r="CW207" s="6"/>
      <c r="CX207" s="6"/>
      <c r="CY207" s="6"/>
      <c r="CZ207" s="6"/>
      <c r="DA207" s="343">
        <f t="shared" si="6"/>
        <v>17.5</v>
      </c>
    </row>
    <row r="208" spans="1:105" ht="20" customHeight="1" x14ac:dyDescent="0.35">
      <c r="A208" s="301"/>
      <c r="B208" s="270" t="s">
        <v>1269</v>
      </c>
      <c r="C208" s="270" t="s">
        <v>2122</v>
      </c>
      <c r="D208" s="270"/>
      <c r="E208" s="270" t="s">
        <v>34</v>
      </c>
      <c r="F208" s="270" t="s">
        <v>636</v>
      </c>
      <c r="G208" s="270" t="s">
        <v>39</v>
      </c>
      <c r="H208" s="298">
        <f>H206/25*5</f>
        <v>17.5</v>
      </c>
      <c r="I208" s="286"/>
      <c r="J208" s="286"/>
      <c r="K208" s="286"/>
      <c r="L208" s="286"/>
      <c r="M208" s="286"/>
      <c r="N208" s="286"/>
      <c r="O208" s="286">
        <v>20.5</v>
      </c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7"/>
      <c r="AL208" s="288"/>
      <c r="AM208" s="287"/>
      <c r="AN208" s="287"/>
      <c r="AO208" s="287"/>
      <c r="AP208" s="286"/>
      <c r="AQ208" s="29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7"/>
      <c r="BE208" s="287"/>
      <c r="BF208" s="287"/>
      <c r="BG208" s="287"/>
      <c r="BH208" s="287"/>
      <c r="BI208" s="287"/>
      <c r="BJ208" s="287"/>
      <c r="BK208" s="287"/>
      <c r="BL208" s="287"/>
      <c r="BM208" s="287"/>
      <c r="BN208" s="287"/>
      <c r="BO208" s="287"/>
      <c r="BP208" s="287"/>
      <c r="BQ208" s="287"/>
      <c r="BR208" s="287"/>
      <c r="BS208" s="287"/>
      <c r="BT208" s="287"/>
      <c r="BU208" s="287"/>
      <c r="BV208" s="287"/>
      <c r="BW208" s="287"/>
      <c r="BX208" s="286"/>
      <c r="BY208" s="289"/>
      <c r="BZ208" s="289"/>
      <c r="CA208" s="289"/>
      <c r="CB208" s="289"/>
      <c r="CC208" s="289"/>
      <c r="CD208" s="289"/>
      <c r="CE208" s="289"/>
      <c r="CF208" s="289"/>
      <c r="CG208" s="287"/>
      <c r="CH208" s="287"/>
      <c r="CI208" s="287"/>
      <c r="CJ208" s="287"/>
      <c r="CK208" s="287"/>
      <c r="CL208" s="287"/>
      <c r="CM208" s="287"/>
      <c r="CN208" s="287"/>
      <c r="CO208" s="287"/>
      <c r="CP208" s="287"/>
      <c r="CQ208" s="287"/>
      <c r="CR208" s="287"/>
      <c r="CS208" s="6"/>
      <c r="CT208" s="6"/>
      <c r="CU208" s="6"/>
      <c r="CV208" s="6"/>
      <c r="CW208" s="6"/>
      <c r="CX208" s="6"/>
      <c r="CY208" s="6"/>
      <c r="CZ208" s="6"/>
      <c r="DA208" s="343">
        <f t="shared" si="6"/>
        <v>17.5</v>
      </c>
    </row>
    <row r="209" spans="1:105" ht="20" customHeight="1" x14ac:dyDescent="0.35">
      <c r="A209" s="301"/>
      <c r="B209" s="270" t="s">
        <v>845</v>
      </c>
      <c r="C209" s="270" t="s">
        <v>1640</v>
      </c>
      <c r="D209" s="270" t="s">
        <v>653</v>
      </c>
      <c r="E209" s="270" t="s">
        <v>34</v>
      </c>
      <c r="F209" s="270" t="s">
        <v>443</v>
      </c>
      <c r="G209" s="270" t="s">
        <v>39</v>
      </c>
      <c r="H209" s="349">
        <v>57.5</v>
      </c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94"/>
      <c r="W209" s="286"/>
      <c r="X209" s="286"/>
      <c r="Y209" s="286"/>
      <c r="Z209" s="286"/>
      <c r="AA209" s="286"/>
      <c r="AB209" s="286"/>
      <c r="AC209" s="286">
        <v>65</v>
      </c>
      <c r="AD209" s="286"/>
      <c r="AE209" s="286"/>
      <c r="AF209" s="286"/>
      <c r="AG209" s="286"/>
      <c r="AH209" s="286"/>
      <c r="AI209" s="286"/>
      <c r="AJ209" s="286"/>
      <c r="AK209" s="295"/>
      <c r="AL209" s="288"/>
      <c r="AM209" s="287"/>
      <c r="AN209" s="287"/>
      <c r="AO209" s="287"/>
      <c r="AP209" s="286"/>
      <c r="AQ209" s="29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7"/>
      <c r="BE209" s="287"/>
      <c r="BF209" s="287"/>
      <c r="BG209" s="287"/>
      <c r="BH209" s="287"/>
      <c r="BI209" s="287"/>
      <c r="BJ209" s="287"/>
      <c r="BK209" s="287"/>
      <c r="BL209" s="287"/>
      <c r="BM209" s="287"/>
      <c r="BN209" s="287"/>
      <c r="BO209" s="287"/>
      <c r="BP209" s="287"/>
      <c r="BQ209" s="287"/>
      <c r="BR209" s="287"/>
      <c r="BS209" s="287"/>
      <c r="BT209" s="287"/>
      <c r="BU209" s="287"/>
      <c r="BV209" s="287"/>
      <c r="BW209" s="287"/>
      <c r="BX209" s="286"/>
      <c r="BY209" s="289"/>
      <c r="BZ209" s="289"/>
      <c r="CA209" s="289"/>
      <c r="CB209" s="289"/>
      <c r="CC209" s="289"/>
      <c r="CD209" s="289"/>
      <c r="CE209" s="289"/>
      <c r="CF209" s="289"/>
      <c r="CG209" s="287"/>
      <c r="CH209" s="287"/>
      <c r="CI209" s="287"/>
      <c r="CJ209" s="287"/>
      <c r="CK209" s="287"/>
      <c r="CL209" s="287"/>
      <c r="CM209" s="287"/>
      <c r="CN209" s="287"/>
      <c r="CO209" s="287"/>
      <c r="CP209" s="287"/>
      <c r="CQ209" s="287"/>
      <c r="CR209" s="287"/>
      <c r="CS209" s="6"/>
      <c r="CT209" s="6"/>
      <c r="CU209" s="6"/>
      <c r="CV209" s="6"/>
      <c r="CW209" s="6"/>
      <c r="CX209" s="6"/>
      <c r="CY209" s="6"/>
      <c r="CZ209" s="6"/>
      <c r="DA209" s="343">
        <f t="shared" si="6"/>
        <v>57.5</v>
      </c>
    </row>
    <row r="210" spans="1:105" ht="20" customHeight="1" x14ac:dyDescent="0.35">
      <c r="A210" s="301"/>
      <c r="B210" s="270" t="s">
        <v>846</v>
      </c>
      <c r="C210" s="270" t="s">
        <v>1640</v>
      </c>
      <c r="D210" s="270" t="s">
        <v>653</v>
      </c>
      <c r="E210" s="270" t="s">
        <v>34</v>
      </c>
      <c r="F210" s="270" t="s">
        <v>636</v>
      </c>
      <c r="G210" s="270" t="s">
        <v>39</v>
      </c>
      <c r="H210" s="298">
        <f>H209/25*5</f>
        <v>11.5</v>
      </c>
      <c r="I210" s="286">
        <v>0</v>
      </c>
      <c r="J210" s="286"/>
      <c r="K210" s="286"/>
      <c r="L210" s="286"/>
      <c r="M210" s="286"/>
      <c r="N210" s="292">
        <v>18</v>
      </c>
      <c r="O210" s="286">
        <v>18</v>
      </c>
      <c r="P210" s="292">
        <v>18</v>
      </c>
      <c r="Q210" s="286">
        <v>18</v>
      </c>
      <c r="R210" s="286">
        <v>18</v>
      </c>
      <c r="S210" s="286"/>
      <c r="T210" s="286"/>
      <c r="U210" s="286"/>
      <c r="V210" s="294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7"/>
      <c r="AL210" s="288"/>
      <c r="AM210" s="287"/>
      <c r="AN210" s="287"/>
      <c r="AO210" s="287"/>
      <c r="AP210" s="286"/>
      <c r="AQ210" s="296">
        <v>17</v>
      </c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7"/>
      <c r="BE210" s="287"/>
      <c r="BF210" s="287"/>
      <c r="BG210" s="288">
        <v>18</v>
      </c>
      <c r="BH210" s="287"/>
      <c r="BI210" s="287"/>
      <c r="BJ210" s="287"/>
      <c r="BK210" s="287">
        <v>19</v>
      </c>
      <c r="BL210" s="287"/>
      <c r="BM210" s="287"/>
      <c r="BN210" s="287"/>
      <c r="BO210" s="287"/>
      <c r="BP210" s="287"/>
      <c r="BQ210" s="287"/>
      <c r="BR210" s="287"/>
      <c r="BS210" s="287"/>
      <c r="BT210" s="287"/>
      <c r="BU210" s="287"/>
      <c r="BV210" s="287"/>
      <c r="BW210" s="287"/>
      <c r="BX210" s="286"/>
      <c r="BY210" s="289"/>
      <c r="BZ210" s="289"/>
      <c r="CA210" s="289"/>
      <c r="CB210" s="289"/>
      <c r="CC210" s="289"/>
      <c r="CD210" s="289"/>
      <c r="CE210" s="289"/>
      <c r="CF210" s="289"/>
      <c r="CG210" s="287"/>
      <c r="CH210" s="287"/>
      <c r="CI210" s="287"/>
      <c r="CJ210" s="287"/>
      <c r="CK210" s="287"/>
      <c r="CL210" s="287"/>
      <c r="CM210" s="287"/>
      <c r="CN210" s="287"/>
      <c r="CO210" s="287"/>
      <c r="CP210" s="287"/>
      <c r="CQ210" s="287"/>
      <c r="CR210" s="287"/>
      <c r="CS210" s="6"/>
      <c r="CT210" s="6"/>
      <c r="CU210" s="6"/>
      <c r="CV210" s="6"/>
      <c r="CW210" s="6"/>
      <c r="CX210" s="6"/>
      <c r="CY210" s="6"/>
      <c r="CZ210" s="6"/>
      <c r="DA210" s="343">
        <f t="shared" si="6"/>
        <v>11.5</v>
      </c>
    </row>
    <row r="211" spans="1:105" ht="20" customHeight="1" x14ac:dyDescent="0.35">
      <c r="A211" s="301"/>
      <c r="B211" s="270" t="s">
        <v>847</v>
      </c>
      <c r="C211" s="270"/>
      <c r="D211" s="270"/>
      <c r="E211" s="270"/>
      <c r="F211" s="270"/>
      <c r="G211" s="270"/>
      <c r="H211" s="298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94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7"/>
      <c r="AL211" s="288"/>
      <c r="AM211" s="287"/>
      <c r="AN211" s="287"/>
      <c r="AO211" s="287"/>
      <c r="AP211" s="286"/>
      <c r="AQ211" s="29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6"/>
      <c r="BY211" s="289"/>
      <c r="BZ211" s="289"/>
      <c r="CA211" s="289"/>
      <c r="CB211" s="289"/>
      <c r="CC211" s="289"/>
      <c r="CD211" s="289"/>
      <c r="CE211" s="289"/>
      <c r="CF211" s="289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6"/>
      <c r="CT211" s="6"/>
      <c r="CU211" s="6"/>
      <c r="CV211" s="6"/>
      <c r="CW211" s="6"/>
      <c r="CX211" s="6"/>
      <c r="CY211" s="6"/>
      <c r="CZ211" s="6"/>
      <c r="DA211" s="343">
        <f t="shared" si="6"/>
        <v>0</v>
      </c>
    </row>
    <row r="212" spans="1:105" ht="20" customHeight="1" x14ac:dyDescent="0.35">
      <c r="A212" s="317">
        <v>4000005590</v>
      </c>
      <c r="B212" s="270" t="s">
        <v>848</v>
      </c>
      <c r="C212" s="270" t="s">
        <v>244</v>
      </c>
      <c r="D212" s="270" t="s">
        <v>657</v>
      </c>
      <c r="E212" s="270" t="s">
        <v>34</v>
      </c>
      <c r="F212" s="270" t="s">
        <v>443</v>
      </c>
      <c r="G212" s="270" t="s">
        <v>39</v>
      </c>
      <c r="H212" s="349">
        <f>1.75*25</f>
        <v>43.75</v>
      </c>
      <c r="I212" s="286"/>
      <c r="J212" s="292">
        <v>57</v>
      </c>
      <c r="K212" s="286">
        <v>55</v>
      </c>
      <c r="L212" s="286">
        <v>60</v>
      </c>
      <c r="M212" s="286"/>
      <c r="N212" s="286"/>
      <c r="O212" s="286">
        <v>55</v>
      </c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>
        <v>60</v>
      </c>
      <c r="AD212" s="286"/>
      <c r="AE212" s="286"/>
      <c r="AF212" s="286"/>
      <c r="AG212" s="286"/>
      <c r="AH212" s="286"/>
      <c r="AI212" s="286"/>
      <c r="AJ212" s="286"/>
      <c r="AK212" s="287"/>
      <c r="AL212" s="288"/>
      <c r="AM212" s="287"/>
      <c r="AN212" s="287"/>
      <c r="AO212" s="287"/>
      <c r="AP212" s="286"/>
      <c r="AQ212" s="29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7"/>
      <c r="BE212" s="287"/>
      <c r="BF212" s="287"/>
      <c r="BG212" s="288">
        <v>13</v>
      </c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6"/>
      <c r="BY212" s="289"/>
      <c r="BZ212" s="289"/>
      <c r="CA212" s="289"/>
      <c r="CB212" s="289"/>
      <c r="CC212" s="289"/>
      <c r="CD212" s="289"/>
      <c r="CE212" s="289"/>
      <c r="CF212" s="289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6"/>
      <c r="CT212" s="6"/>
      <c r="CU212" s="6"/>
      <c r="CV212" s="6"/>
      <c r="CW212" s="6"/>
      <c r="CX212" s="6"/>
      <c r="CY212" s="6"/>
      <c r="CZ212" s="6"/>
      <c r="DA212" s="343">
        <f t="shared" si="6"/>
        <v>43.75</v>
      </c>
    </row>
    <row r="213" spans="1:105" ht="20" customHeight="1" x14ac:dyDescent="0.35">
      <c r="A213" s="290">
        <v>520724</v>
      </c>
      <c r="B213" s="270" t="s">
        <v>849</v>
      </c>
      <c r="C213" s="270" t="s">
        <v>244</v>
      </c>
      <c r="D213" s="297" t="s">
        <v>657</v>
      </c>
      <c r="E213" s="270" t="s">
        <v>34</v>
      </c>
      <c r="F213" s="270" t="s">
        <v>636</v>
      </c>
      <c r="G213" s="270" t="s">
        <v>39</v>
      </c>
      <c r="H213" s="298">
        <f>H212/25*5</f>
        <v>8.75</v>
      </c>
      <c r="I213" s="300">
        <v>13</v>
      </c>
      <c r="J213" s="292">
        <v>13</v>
      </c>
      <c r="K213" s="286"/>
      <c r="L213" s="286">
        <v>14</v>
      </c>
      <c r="M213" s="286"/>
      <c r="N213" s="292">
        <v>14</v>
      </c>
      <c r="O213" s="286"/>
      <c r="P213" s="292">
        <v>14</v>
      </c>
      <c r="Q213" s="286">
        <v>14</v>
      </c>
      <c r="R213" s="286">
        <v>13.5</v>
      </c>
      <c r="S213" s="286">
        <v>14</v>
      </c>
      <c r="T213" s="286">
        <v>13</v>
      </c>
      <c r="U213" s="286"/>
      <c r="V213" s="313"/>
      <c r="W213" s="286"/>
      <c r="X213" s="286"/>
      <c r="Y213" s="286"/>
      <c r="Z213" s="286"/>
      <c r="AA213" s="286"/>
      <c r="AB213" s="286"/>
      <c r="AC213" s="286">
        <v>13.5</v>
      </c>
      <c r="AD213" s="286"/>
      <c r="AE213" s="286"/>
      <c r="AF213" s="286"/>
      <c r="AG213" s="286">
        <v>14</v>
      </c>
      <c r="AH213" s="286"/>
      <c r="AI213" s="286">
        <v>13</v>
      </c>
      <c r="AJ213" s="286"/>
      <c r="AK213" s="295">
        <v>14</v>
      </c>
      <c r="AL213" s="288">
        <v>13</v>
      </c>
      <c r="AM213" s="287"/>
      <c r="AN213" s="287"/>
      <c r="AO213" s="287">
        <v>13</v>
      </c>
      <c r="AP213" s="286">
        <v>13</v>
      </c>
      <c r="AQ213" s="296">
        <v>14</v>
      </c>
      <c r="AR213" s="286">
        <v>13</v>
      </c>
      <c r="AS213" s="286"/>
      <c r="AT213" s="286">
        <v>13</v>
      </c>
      <c r="AU213" s="286">
        <v>13</v>
      </c>
      <c r="AV213" s="286">
        <v>13</v>
      </c>
      <c r="AW213" s="286">
        <v>13</v>
      </c>
      <c r="AX213" s="286">
        <v>13</v>
      </c>
      <c r="AY213" s="286">
        <v>13</v>
      </c>
      <c r="AZ213" s="286">
        <v>13</v>
      </c>
      <c r="BA213" s="286">
        <v>13</v>
      </c>
      <c r="BB213" s="286">
        <f>BA213</f>
        <v>13</v>
      </c>
      <c r="BC213" s="286">
        <v>13</v>
      </c>
      <c r="BD213" s="286">
        <v>14</v>
      </c>
      <c r="BE213" s="286">
        <v>13</v>
      </c>
      <c r="BF213" s="287"/>
      <c r="BG213" s="287"/>
      <c r="BH213" s="286">
        <v>13</v>
      </c>
      <c r="BI213" s="287"/>
      <c r="BJ213" s="287"/>
      <c r="BK213" s="287"/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>
        <v>14</v>
      </c>
      <c r="BV213" s="287"/>
      <c r="BW213" s="287"/>
      <c r="BX213" s="286">
        <v>13</v>
      </c>
      <c r="BY213" s="289"/>
      <c r="BZ213" s="289">
        <v>14</v>
      </c>
      <c r="CA213" s="289"/>
      <c r="CB213" s="289"/>
      <c r="CC213" s="289"/>
      <c r="CD213" s="289"/>
      <c r="CE213" s="289"/>
      <c r="CF213" s="289"/>
      <c r="CG213" s="287"/>
      <c r="CH213" s="287"/>
      <c r="CI213" s="287"/>
      <c r="CJ213" s="287"/>
      <c r="CK213" s="287"/>
      <c r="CL213" s="287"/>
      <c r="CM213" s="286">
        <v>13</v>
      </c>
      <c r="CN213" s="292">
        <v>13</v>
      </c>
      <c r="CO213" s="292">
        <v>13</v>
      </c>
      <c r="CP213" s="287"/>
      <c r="CQ213" s="287">
        <v>13</v>
      </c>
      <c r="CR213" s="292">
        <v>14</v>
      </c>
      <c r="CS213" s="315">
        <v>13</v>
      </c>
      <c r="CT213" s="6"/>
      <c r="CU213" s="6"/>
      <c r="CV213" s="6"/>
      <c r="CW213" s="6"/>
      <c r="CX213" s="6"/>
      <c r="CY213" s="6"/>
      <c r="CZ213" s="6"/>
      <c r="DA213" s="343">
        <f t="shared" si="6"/>
        <v>8.75</v>
      </c>
    </row>
    <row r="214" spans="1:105" ht="20" customHeight="1" x14ac:dyDescent="0.35">
      <c r="A214" s="290" t="s">
        <v>2115</v>
      </c>
      <c r="B214" s="270" t="s">
        <v>849</v>
      </c>
      <c r="C214" s="270" t="s">
        <v>244</v>
      </c>
      <c r="D214" s="297" t="s">
        <v>657</v>
      </c>
      <c r="E214" s="270" t="s">
        <v>34</v>
      </c>
      <c r="F214" s="270" t="s">
        <v>636</v>
      </c>
      <c r="G214" s="270" t="s">
        <v>39</v>
      </c>
      <c r="H214" s="298">
        <f>H213/25*5</f>
        <v>1.75</v>
      </c>
      <c r="I214" s="300">
        <v>13</v>
      </c>
      <c r="J214" s="292"/>
      <c r="K214" s="286"/>
      <c r="L214" s="286"/>
      <c r="M214" s="286"/>
      <c r="N214" s="292"/>
      <c r="O214" s="286"/>
      <c r="P214" s="292"/>
      <c r="Q214" s="286"/>
      <c r="R214" s="286"/>
      <c r="S214" s="286"/>
      <c r="T214" s="286"/>
      <c r="U214" s="286"/>
      <c r="V214" s="313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95"/>
      <c r="AL214" s="288"/>
      <c r="AM214" s="287"/>
      <c r="AN214" s="287"/>
      <c r="AO214" s="287"/>
      <c r="AP214" s="286"/>
      <c r="AQ214" s="29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6"/>
      <c r="BE214" s="286"/>
      <c r="BF214" s="287"/>
      <c r="BG214" s="287"/>
      <c r="BH214" s="286"/>
      <c r="BI214" s="287"/>
      <c r="BJ214" s="287"/>
      <c r="BK214" s="287"/>
      <c r="BL214" s="287"/>
      <c r="BM214" s="287"/>
      <c r="BN214" s="287"/>
      <c r="BO214" s="287"/>
      <c r="BP214" s="287"/>
      <c r="BQ214" s="287"/>
      <c r="BR214" s="287"/>
      <c r="BS214" s="287"/>
      <c r="BT214" s="287"/>
      <c r="BU214" s="287"/>
      <c r="BV214" s="287"/>
      <c r="BW214" s="287"/>
      <c r="BX214" s="286"/>
      <c r="BY214" s="289"/>
      <c r="BZ214" s="289"/>
      <c r="CA214" s="289"/>
      <c r="CB214" s="289"/>
      <c r="CC214" s="289"/>
      <c r="CD214" s="289"/>
      <c r="CE214" s="289"/>
      <c r="CF214" s="289"/>
      <c r="CG214" s="287"/>
      <c r="CH214" s="287"/>
      <c r="CI214" s="287"/>
      <c r="CJ214" s="287"/>
      <c r="CK214" s="287"/>
      <c r="CL214" s="287"/>
      <c r="CM214" s="286"/>
      <c r="CN214" s="292"/>
      <c r="CO214" s="292"/>
      <c r="CP214" s="287"/>
      <c r="CQ214" s="287">
        <v>13</v>
      </c>
      <c r="CR214" s="292"/>
      <c r="CS214" s="315">
        <v>13</v>
      </c>
      <c r="CT214" s="6"/>
      <c r="CU214" s="6"/>
      <c r="CV214" s="6"/>
      <c r="CW214" s="6"/>
      <c r="CX214" s="6"/>
      <c r="CY214" s="6"/>
      <c r="CZ214" s="6"/>
      <c r="DA214" s="343">
        <f>H214</f>
        <v>1.75</v>
      </c>
    </row>
    <row r="215" spans="1:105" ht="20" customHeight="1" x14ac:dyDescent="0.35">
      <c r="A215" s="309"/>
      <c r="B215" s="270" t="s">
        <v>850</v>
      </c>
      <c r="C215" s="270" t="s">
        <v>244</v>
      </c>
      <c r="D215" s="270"/>
      <c r="E215" s="270" t="s">
        <v>34</v>
      </c>
      <c r="F215" s="270" t="s">
        <v>1072</v>
      </c>
      <c r="G215" s="270" t="s">
        <v>39</v>
      </c>
      <c r="H215" s="298">
        <f>H213/5*2</f>
        <v>3.5</v>
      </c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94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7"/>
      <c r="AL215" s="288"/>
      <c r="AM215" s="287"/>
      <c r="AN215" s="287"/>
      <c r="AO215" s="287"/>
      <c r="AP215" s="286"/>
      <c r="AQ215" s="29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6"/>
      <c r="BY215" s="289"/>
      <c r="BZ215" s="289"/>
      <c r="CA215" s="289"/>
      <c r="CB215" s="289"/>
      <c r="CC215" s="289"/>
      <c r="CD215" s="289"/>
      <c r="CE215" s="289"/>
      <c r="CF215" s="289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6"/>
      <c r="CT215" s="6"/>
      <c r="CU215" s="6"/>
      <c r="CV215" s="6"/>
      <c r="CW215" s="6"/>
      <c r="CX215" s="6"/>
      <c r="CY215" s="6"/>
      <c r="CZ215" s="6"/>
      <c r="DA215" s="343">
        <f t="shared" si="6"/>
        <v>3.5</v>
      </c>
    </row>
    <row r="216" spans="1:105" ht="20" customHeight="1" x14ac:dyDescent="0.35">
      <c r="A216" s="301"/>
      <c r="B216" s="270" t="s">
        <v>851</v>
      </c>
      <c r="C216" s="270" t="s">
        <v>244</v>
      </c>
      <c r="D216" s="270"/>
      <c r="E216" s="270" t="s">
        <v>34</v>
      </c>
      <c r="F216" s="270" t="s">
        <v>66</v>
      </c>
      <c r="G216" s="270" t="s">
        <v>39</v>
      </c>
      <c r="H216" s="298">
        <f>H213/5</f>
        <v>1.75</v>
      </c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94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7"/>
      <c r="AL216" s="288"/>
      <c r="AM216" s="287"/>
      <c r="AN216" s="287"/>
      <c r="AO216" s="287"/>
      <c r="AP216" s="286"/>
      <c r="AQ216" s="29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286"/>
      <c r="BB216" s="286"/>
      <c r="BC216" s="286"/>
      <c r="BD216" s="287"/>
      <c r="BE216" s="287"/>
      <c r="BF216" s="287"/>
      <c r="BG216" s="287"/>
      <c r="BH216" s="287"/>
      <c r="BI216" s="287"/>
      <c r="BJ216" s="287"/>
      <c r="BK216" s="287"/>
      <c r="BL216" s="287"/>
      <c r="BM216" s="287"/>
      <c r="BN216" s="287"/>
      <c r="BO216" s="287"/>
      <c r="BP216" s="287"/>
      <c r="BQ216" s="287"/>
      <c r="BR216" s="287"/>
      <c r="BS216" s="287"/>
      <c r="BT216" s="287"/>
      <c r="BU216" s="287"/>
      <c r="BV216" s="287"/>
      <c r="BW216" s="287"/>
      <c r="BX216" s="286"/>
      <c r="BY216" s="289"/>
      <c r="BZ216" s="289"/>
      <c r="CA216" s="289"/>
      <c r="CB216" s="289"/>
      <c r="CC216" s="289"/>
      <c r="CD216" s="289"/>
      <c r="CE216" s="289"/>
      <c r="CF216" s="289"/>
      <c r="CG216" s="287"/>
      <c r="CH216" s="287"/>
      <c r="CI216" s="287"/>
      <c r="CJ216" s="287"/>
      <c r="CK216" s="287"/>
      <c r="CL216" s="287"/>
      <c r="CM216" s="287"/>
      <c r="CN216" s="287"/>
      <c r="CO216" s="287"/>
      <c r="CP216" s="287"/>
      <c r="CQ216" s="287"/>
      <c r="CR216" s="287"/>
      <c r="CS216" s="6"/>
      <c r="CT216" s="6"/>
      <c r="CU216" s="6"/>
      <c r="CV216" s="6"/>
      <c r="CW216" s="6"/>
      <c r="CX216" s="6"/>
      <c r="CY216" s="6"/>
      <c r="CZ216" s="6"/>
      <c r="DA216" s="343">
        <f t="shared" si="6"/>
        <v>1.75</v>
      </c>
    </row>
    <row r="217" spans="1:105" ht="20" customHeight="1" x14ac:dyDescent="0.35">
      <c r="A217" s="301"/>
      <c r="B217" s="270" t="s">
        <v>1355</v>
      </c>
      <c r="C217" s="270" t="s">
        <v>244</v>
      </c>
      <c r="D217" s="270"/>
      <c r="E217" s="270" t="s">
        <v>34</v>
      </c>
      <c r="F217" s="270" t="s">
        <v>637</v>
      </c>
      <c r="G217" s="270" t="s">
        <v>39</v>
      </c>
      <c r="H217" s="298">
        <f>H216*3</f>
        <v>5.25</v>
      </c>
      <c r="I217" s="286">
        <f>I213/5*3+0.3</f>
        <v>8.1000000000000014</v>
      </c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94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7"/>
      <c r="AL217" s="288"/>
      <c r="AM217" s="287"/>
      <c r="AN217" s="287"/>
      <c r="AO217" s="287"/>
      <c r="AP217" s="286"/>
      <c r="AQ217" s="29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7"/>
      <c r="BE217" s="287"/>
      <c r="BF217" s="287"/>
      <c r="BG217" s="287"/>
      <c r="BH217" s="287"/>
      <c r="BI217" s="287"/>
      <c r="BJ217" s="287"/>
      <c r="BK217" s="287"/>
      <c r="BL217" s="287"/>
      <c r="BM217" s="287"/>
      <c r="BN217" s="287"/>
      <c r="BO217" s="287"/>
      <c r="BP217" s="287"/>
      <c r="BQ217" s="287"/>
      <c r="BR217" s="287"/>
      <c r="BS217" s="287"/>
      <c r="BT217" s="287"/>
      <c r="BU217" s="287"/>
      <c r="BV217" s="287"/>
      <c r="BW217" s="287"/>
      <c r="BX217" s="286"/>
      <c r="BY217" s="289"/>
      <c r="BZ217" s="289"/>
      <c r="CA217" s="289"/>
      <c r="CB217" s="289"/>
      <c r="CC217" s="289"/>
      <c r="CD217" s="289"/>
      <c r="CE217" s="289"/>
      <c r="CF217" s="289"/>
      <c r="CG217" s="287"/>
      <c r="CH217" s="287"/>
      <c r="CI217" s="287"/>
      <c r="CJ217" s="287"/>
      <c r="CK217" s="287"/>
      <c r="CL217" s="287"/>
      <c r="CM217" s="287"/>
      <c r="CN217" s="287"/>
      <c r="CO217" s="287"/>
      <c r="CP217" s="287"/>
      <c r="CQ217" s="287"/>
      <c r="CR217" s="287"/>
      <c r="CS217" s="288">
        <f>I217</f>
        <v>8.1000000000000014</v>
      </c>
      <c r="CT217" s="6"/>
      <c r="CU217" s="6"/>
      <c r="CV217" s="6"/>
      <c r="CW217" s="6"/>
      <c r="CX217" s="6"/>
      <c r="CY217" s="6"/>
      <c r="CZ217" s="6"/>
      <c r="DA217" s="343">
        <f t="shared" si="6"/>
        <v>5.25</v>
      </c>
    </row>
    <row r="218" spans="1:105" ht="20" customHeight="1" x14ac:dyDescent="0.35">
      <c r="A218" s="301"/>
      <c r="B218" s="270" t="s">
        <v>852</v>
      </c>
      <c r="C218" s="270" t="s">
        <v>1641</v>
      </c>
      <c r="D218" s="270" t="s">
        <v>653</v>
      </c>
      <c r="E218" s="270"/>
      <c r="F218" s="270" t="s">
        <v>443</v>
      </c>
      <c r="G218" s="270" t="s">
        <v>544</v>
      </c>
      <c r="H218" s="298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94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7"/>
      <c r="AL218" s="288"/>
      <c r="AM218" s="287"/>
      <c r="AN218" s="287"/>
      <c r="AO218" s="287"/>
      <c r="AP218" s="286"/>
      <c r="AQ218" s="29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7"/>
      <c r="BE218" s="287"/>
      <c r="BF218" s="287"/>
      <c r="BG218" s="287"/>
      <c r="BH218" s="287"/>
      <c r="BI218" s="287"/>
      <c r="BJ218" s="287"/>
      <c r="BK218" s="287"/>
      <c r="BL218" s="287"/>
      <c r="BM218" s="287"/>
      <c r="BN218" s="287"/>
      <c r="BO218" s="287"/>
      <c r="BP218" s="287"/>
      <c r="BQ218" s="287"/>
      <c r="BR218" s="287"/>
      <c r="BS218" s="287"/>
      <c r="BT218" s="287"/>
      <c r="BU218" s="287"/>
      <c r="BV218" s="287"/>
      <c r="BW218" s="287"/>
      <c r="BX218" s="286"/>
      <c r="BY218" s="289"/>
      <c r="BZ218" s="289"/>
      <c r="CA218" s="289"/>
      <c r="CB218" s="289"/>
      <c r="CC218" s="289"/>
      <c r="CD218" s="289"/>
      <c r="CE218" s="289"/>
      <c r="CF218" s="289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6"/>
      <c r="CT218" s="6"/>
      <c r="CU218" s="6"/>
      <c r="CV218" s="6"/>
      <c r="CW218" s="6"/>
      <c r="CX218" s="6"/>
      <c r="CY218" s="6"/>
      <c r="CZ218" s="6"/>
      <c r="DA218" s="343">
        <f t="shared" si="6"/>
        <v>0</v>
      </c>
    </row>
    <row r="219" spans="1:105" ht="20" customHeight="1" x14ac:dyDescent="0.35">
      <c r="A219" s="301"/>
      <c r="B219" s="270" t="s">
        <v>853</v>
      </c>
      <c r="C219" s="270" t="s">
        <v>1642</v>
      </c>
      <c r="D219" s="270" t="s">
        <v>653</v>
      </c>
      <c r="E219" s="270"/>
      <c r="F219" s="270" t="s">
        <v>443</v>
      </c>
      <c r="G219" s="270" t="s">
        <v>544</v>
      </c>
      <c r="H219" s="298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94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7"/>
      <c r="AL219" s="288"/>
      <c r="AM219" s="287"/>
      <c r="AN219" s="287"/>
      <c r="AO219" s="287"/>
      <c r="AP219" s="286"/>
      <c r="AQ219" s="29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7"/>
      <c r="BE219" s="287"/>
      <c r="BF219" s="287"/>
      <c r="BG219" s="287"/>
      <c r="BH219" s="287"/>
      <c r="BI219" s="287"/>
      <c r="BJ219" s="287"/>
      <c r="BK219" s="287"/>
      <c r="BL219" s="287"/>
      <c r="BM219" s="287"/>
      <c r="BN219" s="287"/>
      <c r="BO219" s="287"/>
      <c r="BP219" s="287"/>
      <c r="BQ219" s="287"/>
      <c r="BR219" s="287"/>
      <c r="BS219" s="287"/>
      <c r="BT219" s="287"/>
      <c r="BU219" s="287"/>
      <c r="BV219" s="287"/>
      <c r="BW219" s="287"/>
      <c r="BX219" s="286"/>
      <c r="BY219" s="289"/>
      <c r="BZ219" s="289"/>
      <c r="CA219" s="289"/>
      <c r="CB219" s="289"/>
      <c r="CC219" s="289"/>
      <c r="CD219" s="289"/>
      <c r="CE219" s="289"/>
      <c r="CF219" s="289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6"/>
      <c r="CT219" s="6"/>
      <c r="CU219" s="6"/>
      <c r="CV219" s="6"/>
      <c r="CW219" s="6"/>
      <c r="CX219" s="6"/>
      <c r="CY219" s="6"/>
      <c r="CZ219" s="6"/>
      <c r="DA219" s="343">
        <f t="shared" si="6"/>
        <v>0</v>
      </c>
    </row>
    <row r="220" spans="1:105" ht="20" customHeight="1" x14ac:dyDescent="0.35">
      <c r="A220" s="301">
        <v>4000005588</v>
      </c>
      <c r="B220" s="270" t="s">
        <v>854</v>
      </c>
      <c r="C220" s="270" t="s">
        <v>1440</v>
      </c>
      <c r="D220" s="270" t="s">
        <v>655</v>
      </c>
      <c r="E220" s="270" t="s">
        <v>387</v>
      </c>
      <c r="F220" s="270" t="s">
        <v>1848</v>
      </c>
      <c r="G220" s="270" t="s">
        <v>39</v>
      </c>
      <c r="H220" s="349">
        <v>77</v>
      </c>
      <c r="I220" s="286"/>
      <c r="J220" s="286"/>
      <c r="K220" s="300">
        <v>83</v>
      </c>
      <c r="L220" s="286">
        <v>88</v>
      </c>
      <c r="M220" s="400"/>
      <c r="N220" s="286"/>
      <c r="O220" s="286"/>
      <c r="P220" s="286"/>
      <c r="Q220" s="286"/>
      <c r="R220" s="286"/>
      <c r="S220" s="286"/>
      <c r="T220" s="286"/>
      <c r="U220" s="286"/>
      <c r="V220" s="294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7"/>
      <c r="AL220" s="288"/>
      <c r="AM220" s="287"/>
      <c r="AN220" s="287"/>
      <c r="AO220" s="287"/>
      <c r="AP220" s="286"/>
      <c r="AQ220" s="29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6"/>
      <c r="BY220" s="289"/>
      <c r="BZ220" s="289"/>
      <c r="CA220" s="289"/>
      <c r="CB220" s="289"/>
      <c r="CC220" s="289"/>
      <c r="CD220" s="289"/>
      <c r="CE220" s="289"/>
      <c r="CF220" s="289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6"/>
      <c r="CT220" s="6"/>
      <c r="CU220" s="6"/>
      <c r="CV220" s="6"/>
      <c r="CW220" s="6"/>
      <c r="CX220" s="6"/>
      <c r="CY220" s="6"/>
      <c r="CZ220" s="6"/>
      <c r="DA220" s="343">
        <f t="shared" si="6"/>
        <v>77</v>
      </c>
    </row>
    <row r="221" spans="1:105" ht="20" customHeight="1" x14ac:dyDescent="0.35">
      <c r="A221" s="290">
        <v>520746</v>
      </c>
      <c r="B221" s="270" t="s">
        <v>855</v>
      </c>
      <c r="C221" s="270" t="s">
        <v>1440</v>
      </c>
      <c r="D221" s="297" t="s">
        <v>655</v>
      </c>
      <c r="E221" s="270" t="s">
        <v>34</v>
      </c>
      <c r="F221" s="270" t="s">
        <v>636</v>
      </c>
      <c r="G221" s="270" t="s">
        <v>39</v>
      </c>
      <c r="H221" s="298">
        <f>H220/30*5</f>
        <v>12.833333333333334</v>
      </c>
      <c r="I221" s="292">
        <v>17</v>
      </c>
      <c r="J221" s="286"/>
      <c r="K221" s="286"/>
      <c r="L221" s="286">
        <v>18</v>
      </c>
      <c r="M221" s="400"/>
      <c r="N221" s="286"/>
      <c r="O221" s="286">
        <v>18</v>
      </c>
      <c r="P221" s="292">
        <v>18</v>
      </c>
      <c r="Q221" s="286">
        <v>19</v>
      </c>
      <c r="R221" s="286">
        <v>18</v>
      </c>
      <c r="S221" s="286">
        <v>18</v>
      </c>
      <c r="T221" s="286"/>
      <c r="U221" s="286"/>
      <c r="V221" s="294"/>
      <c r="W221" s="286"/>
      <c r="X221" s="286"/>
      <c r="Y221" s="286"/>
      <c r="Z221" s="286"/>
      <c r="AA221" s="286"/>
      <c r="AB221" s="286"/>
      <c r="AC221" s="286">
        <v>18</v>
      </c>
      <c r="AD221" s="286"/>
      <c r="AE221" s="286"/>
      <c r="AF221" s="286"/>
      <c r="AG221" s="286">
        <v>18</v>
      </c>
      <c r="AH221" s="286"/>
      <c r="AI221" s="286"/>
      <c r="AJ221" s="286"/>
      <c r="AK221" s="295">
        <v>18</v>
      </c>
      <c r="AL221" s="288"/>
      <c r="AM221" s="287"/>
      <c r="AN221" s="287"/>
      <c r="AO221" s="287"/>
      <c r="AP221" s="286"/>
      <c r="AQ221" s="296">
        <v>19</v>
      </c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7"/>
      <c r="BE221" s="287"/>
      <c r="BF221" s="287"/>
      <c r="BG221" s="288">
        <v>18</v>
      </c>
      <c r="BH221" s="287"/>
      <c r="BI221" s="287"/>
      <c r="BJ221" s="287"/>
      <c r="BK221" s="287">
        <v>19</v>
      </c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6"/>
      <c r="BY221" s="289"/>
      <c r="BZ221" s="289">
        <v>18</v>
      </c>
      <c r="CA221" s="289"/>
      <c r="CB221" s="289"/>
      <c r="CC221" s="289"/>
      <c r="CD221" s="289"/>
      <c r="CE221" s="289"/>
      <c r="CF221" s="289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>
        <v>18</v>
      </c>
      <c r="CR221" s="287">
        <v>19</v>
      </c>
      <c r="CS221" s="288">
        <f>I221</f>
        <v>17</v>
      </c>
      <c r="CT221" s="6"/>
      <c r="CU221" s="6"/>
      <c r="CV221" s="6"/>
      <c r="CW221" s="6"/>
      <c r="CX221" s="6"/>
      <c r="CY221" s="6"/>
      <c r="CZ221" s="6"/>
      <c r="DA221" s="343">
        <f t="shared" si="6"/>
        <v>12.833333333333334</v>
      </c>
    </row>
    <row r="222" spans="1:105" ht="20" customHeight="1" x14ac:dyDescent="0.35">
      <c r="A222" s="301"/>
      <c r="B222" s="311" t="s">
        <v>856</v>
      </c>
      <c r="C222" s="270" t="s">
        <v>1440</v>
      </c>
      <c r="D222" s="270"/>
      <c r="E222" s="270" t="s">
        <v>34</v>
      </c>
      <c r="F222" s="270" t="s">
        <v>637</v>
      </c>
      <c r="G222" s="270" t="s">
        <v>39</v>
      </c>
      <c r="H222" s="298">
        <f>H220/30*3</f>
        <v>7.7000000000000011</v>
      </c>
      <c r="I222" s="286">
        <f>I221/5*3+0.3</f>
        <v>10.5</v>
      </c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94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>
        <v>11</v>
      </c>
      <c r="AK222" s="287"/>
      <c r="AL222" s="288"/>
      <c r="AM222" s="287"/>
      <c r="AN222" s="287"/>
      <c r="AO222" s="287"/>
      <c r="AP222" s="286"/>
      <c r="AQ222" s="29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7"/>
      <c r="BN222" s="287"/>
      <c r="BO222" s="287"/>
      <c r="BP222" s="287"/>
      <c r="BQ222" s="287"/>
      <c r="BR222" s="287"/>
      <c r="BS222" s="287"/>
      <c r="BT222" s="287"/>
      <c r="BU222" s="287"/>
      <c r="BV222" s="287"/>
      <c r="BW222" s="287"/>
      <c r="BX222" s="286"/>
      <c r="BY222" s="289"/>
      <c r="BZ222" s="289"/>
      <c r="CA222" s="289"/>
      <c r="CB222" s="289"/>
      <c r="CC222" s="289"/>
      <c r="CD222" s="289"/>
      <c r="CE222" s="289"/>
      <c r="CF222" s="289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288">
        <f>I222</f>
        <v>10.5</v>
      </c>
      <c r="CT222" s="6"/>
      <c r="CU222" s="6"/>
      <c r="CV222" s="6"/>
      <c r="CW222" s="6"/>
      <c r="CX222" s="6"/>
      <c r="CY222" s="6"/>
      <c r="CZ222" s="6"/>
      <c r="DA222" s="343">
        <f t="shared" si="6"/>
        <v>7.7000000000000011</v>
      </c>
    </row>
    <row r="223" spans="1:105" ht="20" customHeight="1" x14ac:dyDescent="0.35">
      <c r="A223" s="301"/>
      <c r="B223" s="311" t="s">
        <v>857</v>
      </c>
      <c r="C223" s="270" t="s">
        <v>1440</v>
      </c>
      <c r="D223" s="270"/>
      <c r="E223" s="270" t="s">
        <v>34</v>
      </c>
      <c r="F223" s="270" t="s">
        <v>1072</v>
      </c>
      <c r="G223" s="270" t="s">
        <v>39</v>
      </c>
      <c r="H223" s="298">
        <f>H220/30*2</f>
        <v>5.1333333333333337</v>
      </c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94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7"/>
      <c r="AL223" s="288"/>
      <c r="AM223" s="287"/>
      <c r="AN223" s="287"/>
      <c r="AO223" s="287"/>
      <c r="AP223" s="286"/>
      <c r="AQ223" s="29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7"/>
      <c r="BE223" s="287"/>
      <c r="BF223" s="287"/>
      <c r="BG223" s="287"/>
      <c r="BH223" s="287"/>
      <c r="BI223" s="287"/>
      <c r="BJ223" s="287"/>
      <c r="BK223" s="287"/>
      <c r="BL223" s="287"/>
      <c r="BM223" s="287"/>
      <c r="BN223" s="287"/>
      <c r="BO223" s="287"/>
      <c r="BP223" s="287"/>
      <c r="BQ223" s="287"/>
      <c r="BR223" s="287"/>
      <c r="BS223" s="287"/>
      <c r="BT223" s="287"/>
      <c r="BU223" s="287"/>
      <c r="BV223" s="287"/>
      <c r="BW223" s="287"/>
      <c r="BX223" s="286"/>
      <c r="BY223" s="289"/>
      <c r="BZ223" s="289"/>
      <c r="CA223" s="289"/>
      <c r="CB223" s="289"/>
      <c r="CC223" s="289"/>
      <c r="CD223" s="289"/>
      <c r="CE223" s="289"/>
      <c r="CF223" s="289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6"/>
      <c r="CT223" s="6"/>
      <c r="CU223" s="6"/>
      <c r="CV223" s="6"/>
      <c r="CW223" s="6"/>
      <c r="CX223" s="6"/>
      <c r="CY223" s="6"/>
      <c r="CZ223" s="6"/>
      <c r="DA223" s="343">
        <f t="shared" si="6"/>
        <v>5.1333333333333337</v>
      </c>
    </row>
    <row r="224" spans="1:105" ht="20" customHeight="1" x14ac:dyDescent="0.35">
      <c r="A224" s="301"/>
      <c r="B224" s="311" t="s">
        <v>858</v>
      </c>
      <c r="C224" s="270" t="s">
        <v>1440</v>
      </c>
      <c r="D224" s="270"/>
      <c r="E224" s="270" t="s">
        <v>638</v>
      </c>
      <c r="F224" s="270" t="s">
        <v>66</v>
      </c>
      <c r="G224" s="270" t="s">
        <v>39</v>
      </c>
      <c r="H224" s="298">
        <f>H220/30</f>
        <v>2.5666666666666669</v>
      </c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94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7"/>
      <c r="AL224" s="288"/>
      <c r="AM224" s="287"/>
      <c r="AN224" s="287"/>
      <c r="AO224" s="287"/>
      <c r="AP224" s="286"/>
      <c r="AQ224" s="29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7"/>
      <c r="BE224" s="287"/>
      <c r="BF224" s="287"/>
      <c r="BG224" s="287"/>
      <c r="BH224" s="287"/>
      <c r="BI224" s="287"/>
      <c r="BJ224" s="287"/>
      <c r="BK224" s="287"/>
      <c r="BL224" s="287"/>
      <c r="BM224" s="287"/>
      <c r="BN224" s="287"/>
      <c r="BO224" s="287"/>
      <c r="BP224" s="287"/>
      <c r="BQ224" s="287"/>
      <c r="BR224" s="287"/>
      <c r="BS224" s="287"/>
      <c r="BT224" s="287"/>
      <c r="BU224" s="287"/>
      <c r="BV224" s="287"/>
      <c r="BW224" s="287"/>
      <c r="BX224" s="286"/>
      <c r="BY224" s="289"/>
      <c r="BZ224" s="289"/>
      <c r="CA224" s="289"/>
      <c r="CB224" s="289"/>
      <c r="CC224" s="289"/>
      <c r="CD224" s="289"/>
      <c r="CE224" s="289"/>
      <c r="CF224" s="289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/>
      <c r="CR224" s="287"/>
      <c r="CS224" s="6"/>
      <c r="CT224" s="6"/>
      <c r="CU224" s="6"/>
      <c r="CV224" s="6"/>
      <c r="CW224" s="6"/>
      <c r="CX224" s="6"/>
      <c r="CY224" s="6"/>
      <c r="CZ224" s="6"/>
      <c r="DA224" s="343">
        <f t="shared" si="6"/>
        <v>2.5666666666666669</v>
      </c>
    </row>
    <row r="225" spans="1:105" ht="20" customHeight="1" x14ac:dyDescent="0.35">
      <c r="A225" s="301"/>
      <c r="B225" s="311" t="s">
        <v>859</v>
      </c>
      <c r="C225" s="270" t="s">
        <v>1440</v>
      </c>
      <c r="D225" s="270"/>
      <c r="E225" s="270" t="s">
        <v>638</v>
      </c>
      <c r="F225" s="270" t="s">
        <v>622</v>
      </c>
      <c r="G225" s="270" t="s">
        <v>39</v>
      </c>
      <c r="H225" s="298">
        <f>H220/30/2</f>
        <v>1.2833333333333334</v>
      </c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94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7"/>
      <c r="AL225" s="288"/>
      <c r="AM225" s="287"/>
      <c r="AN225" s="287"/>
      <c r="AO225" s="287"/>
      <c r="AP225" s="286"/>
      <c r="AQ225" s="29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7"/>
      <c r="BE225" s="287"/>
      <c r="BF225" s="287"/>
      <c r="BG225" s="287"/>
      <c r="BH225" s="287"/>
      <c r="BI225" s="287"/>
      <c r="BJ225" s="287"/>
      <c r="BK225" s="287"/>
      <c r="BL225" s="287"/>
      <c r="BM225" s="287"/>
      <c r="BN225" s="287"/>
      <c r="BO225" s="287"/>
      <c r="BP225" s="287"/>
      <c r="BQ225" s="287"/>
      <c r="BR225" s="287"/>
      <c r="BS225" s="287"/>
      <c r="BT225" s="287"/>
      <c r="BU225" s="287"/>
      <c r="BV225" s="287"/>
      <c r="BW225" s="287"/>
      <c r="BX225" s="286"/>
      <c r="BY225" s="289"/>
      <c r="BZ225" s="289"/>
      <c r="CA225" s="289"/>
      <c r="CB225" s="289"/>
      <c r="CC225" s="289"/>
      <c r="CD225" s="289"/>
      <c r="CE225" s="289"/>
      <c r="CF225" s="289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/>
      <c r="CR225" s="287"/>
      <c r="CS225" s="6"/>
      <c r="CT225" s="6"/>
      <c r="CU225" s="6"/>
      <c r="CV225" s="6"/>
      <c r="CW225" s="6"/>
      <c r="CX225" s="6"/>
      <c r="CY225" s="6"/>
      <c r="CZ225" s="6"/>
      <c r="DA225" s="343">
        <f t="shared" si="6"/>
        <v>1.2833333333333334</v>
      </c>
    </row>
    <row r="226" spans="1:105" ht="20" customHeight="1" x14ac:dyDescent="0.35">
      <c r="A226" s="301">
        <v>4000005592</v>
      </c>
      <c r="B226" s="270" t="s">
        <v>860</v>
      </c>
      <c r="C226" s="270" t="s">
        <v>246</v>
      </c>
      <c r="D226" s="270"/>
      <c r="E226" s="270" t="s">
        <v>46</v>
      </c>
      <c r="F226" s="270" t="s">
        <v>443</v>
      </c>
      <c r="G226" s="270" t="s">
        <v>39</v>
      </c>
      <c r="H226" s="349">
        <v>60</v>
      </c>
      <c r="I226" s="286"/>
      <c r="J226" s="286"/>
      <c r="K226" s="286">
        <v>77</v>
      </c>
      <c r="L226" s="286">
        <v>80</v>
      </c>
      <c r="M226" s="400"/>
      <c r="N226" s="286"/>
      <c r="O226" s="286"/>
      <c r="P226" s="286"/>
      <c r="Q226" s="286"/>
      <c r="R226" s="286"/>
      <c r="S226" s="286"/>
      <c r="T226" s="286"/>
      <c r="U226" s="286"/>
      <c r="V226" s="294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7"/>
      <c r="AL226" s="288"/>
      <c r="AM226" s="287"/>
      <c r="AN226" s="287"/>
      <c r="AO226" s="287"/>
      <c r="AP226" s="286"/>
      <c r="AQ226" s="29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  <c r="BU226" s="287"/>
      <c r="BV226" s="287"/>
      <c r="BW226" s="287"/>
      <c r="BX226" s="286"/>
      <c r="BY226" s="289"/>
      <c r="BZ226" s="289"/>
      <c r="CA226" s="289"/>
      <c r="CB226" s="289"/>
      <c r="CC226" s="289"/>
      <c r="CD226" s="289"/>
      <c r="CE226" s="289"/>
      <c r="CF226" s="289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6"/>
      <c r="CT226" s="6"/>
      <c r="CU226" s="6"/>
      <c r="CV226" s="6"/>
      <c r="CW226" s="6"/>
      <c r="CX226" s="6"/>
      <c r="CY226" s="6"/>
      <c r="CZ226" s="6"/>
      <c r="DA226" s="343">
        <f t="shared" si="6"/>
        <v>60</v>
      </c>
    </row>
    <row r="227" spans="1:105" ht="20" customHeight="1" x14ac:dyDescent="0.35">
      <c r="A227" s="290">
        <v>520698</v>
      </c>
      <c r="B227" s="270" t="s">
        <v>861</v>
      </c>
      <c r="C227" s="270" t="s">
        <v>246</v>
      </c>
      <c r="D227" s="297" t="s">
        <v>330</v>
      </c>
      <c r="E227" s="270" t="s">
        <v>34</v>
      </c>
      <c r="F227" s="270" t="s">
        <v>553</v>
      </c>
      <c r="G227" s="270" t="s">
        <v>39</v>
      </c>
      <c r="H227" s="298">
        <f>H226/25*5</f>
        <v>12</v>
      </c>
      <c r="I227" s="292">
        <v>18</v>
      </c>
      <c r="J227" s="292">
        <v>18</v>
      </c>
      <c r="K227" s="286"/>
      <c r="L227" s="286">
        <v>18</v>
      </c>
      <c r="M227" s="286"/>
      <c r="N227" s="292">
        <v>18</v>
      </c>
      <c r="O227" s="286">
        <v>18</v>
      </c>
      <c r="P227" s="292">
        <v>18</v>
      </c>
      <c r="Q227" s="286">
        <v>18</v>
      </c>
      <c r="R227" s="286">
        <v>18</v>
      </c>
      <c r="S227" s="286">
        <v>19</v>
      </c>
      <c r="T227" s="286">
        <v>18</v>
      </c>
      <c r="U227" s="286"/>
      <c r="V227" s="294"/>
      <c r="W227" s="286"/>
      <c r="X227" s="286"/>
      <c r="Y227" s="286"/>
      <c r="Z227" s="286"/>
      <c r="AA227" s="286"/>
      <c r="AB227" s="286"/>
      <c r="AC227" s="286">
        <v>18</v>
      </c>
      <c r="AD227" s="286"/>
      <c r="AE227" s="286"/>
      <c r="AF227" s="286"/>
      <c r="AG227" s="286">
        <v>18</v>
      </c>
      <c r="AH227" s="286"/>
      <c r="AI227" s="286">
        <v>18</v>
      </c>
      <c r="AJ227" s="286"/>
      <c r="AK227" s="295">
        <v>18</v>
      </c>
      <c r="AL227" s="288">
        <v>18</v>
      </c>
      <c r="AM227" s="287"/>
      <c r="AN227" s="287"/>
      <c r="AO227" s="287">
        <v>18</v>
      </c>
      <c r="AP227" s="286">
        <v>18</v>
      </c>
      <c r="AQ227" s="296">
        <v>18</v>
      </c>
      <c r="AR227" s="286">
        <v>18</v>
      </c>
      <c r="AS227" s="286"/>
      <c r="AT227" s="286">
        <v>18</v>
      </c>
      <c r="AU227" s="286">
        <v>18</v>
      </c>
      <c r="AV227" s="286">
        <v>18</v>
      </c>
      <c r="AW227" s="286">
        <v>18</v>
      </c>
      <c r="AX227" s="286">
        <v>18</v>
      </c>
      <c r="AY227" s="286">
        <v>18</v>
      </c>
      <c r="AZ227" s="286">
        <v>18</v>
      </c>
      <c r="BA227" s="286">
        <v>18</v>
      </c>
      <c r="BB227" s="286">
        <f>BA227</f>
        <v>18</v>
      </c>
      <c r="BC227" s="286">
        <v>18</v>
      </c>
      <c r="BD227" s="287"/>
      <c r="BE227" s="286">
        <v>18</v>
      </c>
      <c r="BF227" s="287"/>
      <c r="BG227" s="288">
        <v>16</v>
      </c>
      <c r="BH227" s="286">
        <v>18</v>
      </c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  <c r="BU227" s="287">
        <v>18</v>
      </c>
      <c r="BV227" s="287"/>
      <c r="BW227" s="287"/>
      <c r="BX227" s="286">
        <f>J227</f>
        <v>18</v>
      </c>
      <c r="BY227" s="289"/>
      <c r="BZ227" s="289">
        <v>18</v>
      </c>
      <c r="CA227" s="289"/>
      <c r="CB227" s="289"/>
      <c r="CC227" s="289"/>
      <c r="CD227" s="289"/>
      <c r="CE227" s="289"/>
      <c r="CF227" s="289"/>
      <c r="CG227" s="287"/>
      <c r="CH227" s="287"/>
      <c r="CI227" s="287"/>
      <c r="CJ227" s="287"/>
      <c r="CK227" s="287"/>
      <c r="CL227" s="287"/>
      <c r="CM227" s="292">
        <v>18</v>
      </c>
      <c r="CN227" s="292">
        <v>18</v>
      </c>
      <c r="CO227" s="292">
        <v>18</v>
      </c>
      <c r="CP227" s="287"/>
      <c r="CQ227" s="287">
        <v>18</v>
      </c>
      <c r="CR227" s="292">
        <v>18</v>
      </c>
      <c r="CS227" s="288">
        <f>I227</f>
        <v>18</v>
      </c>
      <c r="CT227" s="6"/>
      <c r="CU227" s="6"/>
      <c r="CV227" s="6"/>
      <c r="CW227" s="6"/>
      <c r="CX227" s="6"/>
      <c r="CY227" s="6"/>
      <c r="CZ227" s="6"/>
      <c r="DA227" s="343">
        <f t="shared" si="6"/>
        <v>12</v>
      </c>
    </row>
    <row r="228" spans="1:105" ht="20" customHeight="1" x14ac:dyDescent="0.35">
      <c r="A228" s="290"/>
      <c r="B228" s="270" t="s">
        <v>862</v>
      </c>
      <c r="C228" s="270" t="s">
        <v>246</v>
      </c>
      <c r="D228" s="270"/>
      <c r="E228" s="270" t="s">
        <v>346</v>
      </c>
      <c r="F228" s="270" t="s">
        <v>66</v>
      </c>
      <c r="G228" s="270" t="s">
        <v>39</v>
      </c>
      <c r="H228" s="298">
        <f>H226/25*1</f>
        <v>2.4</v>
      </c>
      <c r="I228" s="286"/>
      <c r="J228" s="286"/>
      <c r="K228" s="286"/>
      <c r="L228" s="286">
        <v>4</v>
      </c>
      <c r="M228" s="286"/>
      <c r="N228" s="286"/>
      <c r="O228" s="286"/>
      <c r="P228" s="286"/>
      <c r="Q228" s="286"/>
      <c r="R228" s="286"/>
      <c r="S228" s="286"/>
      <c r="T228" s="286"/>
      <c r="U228" s="286"/>
      <c r="V228" s="294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>
        <v>4</v>
      </c>
      <c r="AK228" s="287"/>
      <c r="AL228" s="288"/>
      <c r="AM228" s="287"/>
      <c r="AN228" s="287"/>
      <c r="AO228" s="287"/>
      <c r="AP228" s="286"/>
      <c r="AQ228" s="29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6"/>
      <c r="BY228" s="289"/>
      <c r="BZ228" s="289"/>
      <c r="CA228" s="289"/>
      <c r="CB228" s="289"/>
      <c r="CC228" s="289"/>
      <c r="CD228" s="289"/>
      <c r="CE228" s="289"/>
      <c r="CF228" s="289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6"/>
      <c r="CT228" s="6"/>
      <c r="CU228" s="6"/>
      <c r="CV228" s="6"/>
      <c r="CW228" s="6"/>
      <c r="CX228" s="6"/>
      <c r="CY228" s="6"/>
      <c r="CZ228" s="6"/>
      <c r="DA228" s="343">
        <f t="shared" si="6"/>
        <v>2.4</v>
      </c>
    </row>
    <row r="229" spans="1:105" ht="20" customHeight="1" x14ac:dyDescent="0.35">
      <c r="A229" s="290"/>
      <c r="B229" s="270" t="s">
        <v>863</v>
      </c>
      <c r="C229" s="270" t="s">
        <v>246</v>
      </c>
      <c r="D229" s="270"/>
      <c r="E229" s="270" t="s">
        <v>346</v>
      </c>
      <c r="F229" s="270" t="s">
        <v>1408</v>
      </c>
      <c r="G229" s="270" t="s">
        <v>39</v>
      </c>
      <c r="H229" s="298">
        <f>H228/1000*750</f>
        <v>1.7999999999999998</v>
      </c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94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7"/>
      <c r="AL229" s="288"/>
      <c r="AM229" s="287"/>
      <c r="AN229" s="287"/>
      <c r="AO229" s="287"/>
      <c r="AP229" s="286"/>
      <c r="AQ229" s="29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6"/>
      <c r="BY229" s="289"/>
      <c r="BZ229" s="289"/>
      <c r="CA229" s="289"/>
      <c r="CB229" s="289"/>
      <c r="CC229" s="289"/>
      <c r="CD229" s="289"/>
      <c r="CE229" s="289"/>
      <c r="CF229" s="289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6"/>
      <c r="CT229" s="6"/>
      <c r="CU229" s="6"/>
      <c r="CV229" s="6"/>
      <c r="CW229" s="6"/>
      <c r="CX229" s="6"/>
      <c r="CY229" s="6"/>
      <c r="CZ229" s="6"/>
      <c r="DA229" s="343">
        <f t="shared" si="6"/>
        <v>1.7999999999999998</v>
      </c>
    </row>
    <row r="230" spans="1:105" ht="20" customHeight="1" x14ac:dyDescent="0.35">
      <c r="A230" s="301">
        <v>4000005593</v>
      </c>
      <c r="B230" s="270" t="s">
        <v>864</v>
      </c>
      <c r="C230" s="270" t="s">
        <v>1643</v>
      </c>
      <c r="D230" s="270"/>
      <c r="E230" s="270" t="s">
        <v>539</v>
      </c>
      <c r="F230" s="270" t="s">
        <v>443</v>
      </c>
      <c r="G230" s="270" t="s">
        <v>39</v>
      </c>
      <c r="H230" s="298">
        <v>30</v>
      </c>
      <c r="I230" s="286"/>
      <c r="J230" s="286"/>
      <c r="K230" s="286">
        <v>46</v>
      </c>
      <c r="L230" s="286">
        <v>0</v>
      </c>
      <c r="M230" s="286"/>
      <c r="N230" s="286"/>
      <c r="O230" s="286"/>
      <c r="P230" s="286"/>
      <c r="Q230" s="286"/>
      <c r="R230" s="286"/>
      <c r="S230" s="286"/>
      <c r="T230" s="286"/>
      <c r="U230" s="286"/>
      <c r="V230" s="294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7"/>
      <c r="AL230" s="288"/>
      <c r="AM230" s="287"/>
      <c r="AN230" s="287"/>
      <c r="AO230" s="287"/>
      <c r="AP230" s="286"/>
      <c r="AQ230" s="29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  <c r="BU230" s="287"/>
      <c r="BV230" s="287"/>
      <c r="BW230" s="287"/>
      <c r="BX230" s="286"/>
      <c r="BY230" s="289"/>
      <c r="BZ230" s="289"/>
      <c r="CA230" s="289"/>
      <c r="CB230" s="289"/>
      <c r="CC230" s="289"/>
      <c r="CD230" s="289"/>
      <c r="CE230" s="289"/>
      <c r="CF230" s="289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6"/>
      <c r="CT230" s="6"/>
      <c r="CU230" s="6"/>
      <c r="CV230" s="6"/>
      <c r="CW230" s="6"/>
      <c r="CX230" s="6"/>
      <c r="CY230" s="6"/>
      <c r="CZ230" s="6"/>
      <c r="DA230" s="343">
        <f t="shared" si="6"/>
        <v>30</v>
      </c>
    </row>
    <row r="231" spans="1:105" ht="20" customHeight="1" x14ac:dyDescent="0.35">
      <c r="A231" s="290">
        <v>520787</v>
      </c>
      <c r="B231" s="270" t="s">
        <v>865</v>
      </c>
      <c r="C231" s="270" t="s">
        <v>1643</v>
      </c>
      <c r="D231" s="297" t="s">
        <v>539</v>
      </c>
      <c r="E231" s="270" t="s">
        <v>34</v>
      </c>
      <c r="F231" s="270" t="s">
        <v>636</v>
      </c>
      <c r="G231" s="270" t="s">
        <v>39</v>
      </c>
      <c r="H231" s="298">
        <f>H230/25*5</f>
        <v>6</v>
      </c>
      <c r="I231" s="292">
        <v>11</v>
      </c>
      <c r="J231" s="292">
        <v>10</v>
      </c>
      <c r="K231" s="286"/>
      <c r="L231" s="286"/>
      <c r="M231" s="286"/>
      <c r="N231" s="292">
        <v>10</v>
      </c>
      <c r="O231" s="286">
        <v>11</v>
      </c>
      <c r="P231" s="292">
        <v>10</v>
      </c>
      <c r="Q231" s="286">
        <v>10</v>
      </c>
      <c r="R231" s="300">
        <v>11</v>
      </c>
      <c r="S231" s="286">
        <v>10</v>
      </c>
      <c r="T231" s="286">
        <v>10</v>
      </c>
      <c r="U231" s="286"/>
      <c r="V231" s="294"/>
      <c r="W231" s="286"/>
      <c r="X231" s="286"/>
      <c r="Y231" s="286"/>
      <c r="Z231" s="286"/>
      <c r="AA231" s="286"/>
      <c r="AB231" s="286"/>
      <c r="AC231" s="286">
        <v>10</v>
      </c>
      <c r="AD231" s="286"/>
      <c r="AE231" s="286"/>
      <c r="AF231" s="286"/>
      <c r="AG231" s="286">
        <v>11</v>
      </c>
      <c r="AH231" s="286"/>
      <c r="AI231" s="286"/>
      <c r="AJ231" s="286"/>
      <c r="AK231" s="295">
        <v>11</v>
      </c>
      <c r="AL231" s="288"/>
      <c r="AM231" s="287"/>
      <c r="AN231" s="287"/>
      <c r="AO231" s="287"/>
      <c r="AP231" s="286">
        <v>10</v>
      </c>
      <c r="AQ231" s="296">
        <v>12</v>
      </c>
      <c r="AR231" s="286">
        <v>10</v>
      </c>
      <c r="AS231" s="286"/>
      <c r="AT231" s="286">
        <v>10</v>
      </c>
      <c r="AU231" s="286">
        <v>10</v>
      </c>
      <c r="AV231" s="286">
        <v>10</v>
      </c>
      <c r="AW231" s="286">
        <v>10</v>
      </c>
      <c r="AX231" s="286">
        <v>10</v>
      </c>
      <c r="AY231" s="286">
        <v>10</v>
      </c>
      <c r="AZ231" s="286">
        <v>10</v>
      </c>
      <c r="BA231" s="286">
        <v>10</v>
      </c>
      <c r="BB231" s="286"/>
      <c r="BC231" s="286">
        <v>10</v>
      </c>
      <c r="BD231" s="287"/>
      <c r="BE231" s="287"/>
      <c r="BF231" s="287"/>
      <c r="BG231" s="288">
        <v>10</v>
      </c>
      <c r="BH231" s="286">
        <v>10</v>
      </c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  <c r="BU231" s="287"/>
      <c r="BV231" s="287"/>
      <c r="BW231" s="287"/>
      <c r="BX231" s="286">
        <v>10</v>
      </c>
      <c r="BY231" s="289"/>
      <c r="BZ231" s="289">
        <v>11</v>
      </c>
      <c r="CA231" s="289"/>
      <c r="CB231" s="289"/>
      <c r="CC231" s="289"/>
      <c r="CD231" s="289"/>
      <c r="CE231" s="289"/>
      <c r="CF231" s="289"/>
      <c r="CG231" s="287"/>
      <c r="CH231" s="287"/>
      <c r="CI231" s="287"/>
      <c r="CJ231" s="287"/>
      <c r="CK231" s="287"/>
      <c r="CL231" s="287"/>
      <c r="CM231" s="287"/>
      <c r="CN231" s="292">
        <v>10</v>
      </c>
      <c r="CO231" s="287"/>
      <c r="CP231" s="287"/>
      <c r="CQ231" s="287">
        <v>11</v>
      </c>
      <c r="CR231" s="287">
        <v>11</v>
      </c>
      <c r="CS231" s="288">
        <f>I231</f>
        <v>11</v>
      </c>
      <c r="CT231" s="6"/>
      <c r="CU231" s="6"/>
      <c r="CV231" s="6"/>
      <c r="CW231" s="6"/>
      <c r="CX231" s="6"/>
      <c r="CY231" s="6"/>
      <c r="CZ231" s="6"/>
      <c r="DA231" s="343">
        <f t="shared" ref="DA231:DA305" si="8">H231</f>
        <v>6</v>
      </c>
    </row>
    <row r="232" spans="1:105" ht="20" customHeight="1" x14ac:dyDescent="0.35">
      <c r="A232" s="290"/>
      <c r="B232" s="270" t="s">
        <v>866</v>
      </c>
      <c r="C232" s="270" t="s">
        <v>1643</v>
      </c>
      <c r="D232" s="270"/>
      <c r="E232" s="270" t="s">
        <v>34</v>
      </c>
      <c r="F232" s="270" t="s">
        <v>66</v>
      </c>
      <c r="G232" s="270" t="s">
        <v>39</v>
      </c>
      <c r="H232" s="298">
        <f>H230/25</f>
        <v>1.2</v>
      </c>
      <c r="I232" s="286"/>
      <c r="J232" s="286"/>
      <c r="K232" s="286"/>
      <c r="L232" s="286"/>
      <c r="M232" s="286"/>
      <c r="N232" s="286"/>
      <c r="O232" s="286"/>
      <c r="P232" s="286"/>
      <c r="Q232" s="286">
        <v>2.2999999999999998</v>
      </c>
      <c r="R232" s="286"/>
      <c r="S232" s="286"/>
      <c r="T232" s="286"/>
      <c r="U232" s="286"/>
      <c r="V232" s="294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7"/>
      <c r="AL232" s="288"/>
      <c r="AM232" s="287"/>
      <c r="AN232" s="287"/>
      <c r="AO232" s="287"/>
      <c r="AP232" s="286"/>
      <c r="AQ232" s="296">
        <v>2</v>
      </c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  <c r="BU232" s="287"/>
      <c r="BV232" s="287"/>
      <c r="BW232" s="287"/>
      <c r="BX232" s="286"/>
      <c r="BY232" s="289"/>
      <c r="BZ232" s="289"/>
      <c r="CA232" s="289"/>
      <c r="CB232" s="289"/>
      <c r="CC232" s="289"/>
      <c r="CD232" s="289"/>
      <c r="CE232" s="289"/>
      <c r="CF232" s="289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6"/>
      <c r="CT232" s="6"/>
      <c r="CU232" s="6"/>
      <c r="CV232" s="6"/>
      <c r="CW232" s="6"/>
      <c r="CX232" s="6"/>
      <c r="CY232" s="6"/>
      <c r="CZ232" s="6"/>
      <c r="DA232" s="343">
        <f t="shared" si="8"/>
        <v>1.2</v>
      </c>
    </row>
    <row r="233" spans="1:105" ht="20" customHeight="1" x14ac:dyDescent="0.35">
      <c r="A233" s="290"/>
      <c r="B233" s="270" t="s">
        <v>867</v>
      </c>
      <c r="C233" s="270" t="s">
        <v>1643</v>
      </c>
      <c r="D233" s="270"/>
      <c r="E233" s="270" t="s">
        <v>34</v>
      </c>
      <c r="F233" s="270" t="s">
        <v>622</v>
      </c>
      <c r="G233" s="270" t="s">
        <v>39</v>
      </c>
      <c r="H233" s="298">
        <f>H232/2</f>
        <v>0.6</v>
      </c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94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7"/>
      <c r="AL233" s="288"/>
      <c r="AM233" s="287"/>
      <c r="AN233" s="287"/>
      <c r="AO233" s="287"/>
      <c r="AP233" s="286"/>
      <c r="AQ233" s="29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  <c r="BU233" s="287"/>
      <c r="BV233" s="287"/>
      <c r="BW233" s="287"/>
      <c r="BX233" s="286"/>
      <c r="BY233" s="289"/>
      <c r="BZ233" s="289"/>
      <c r="CA233" s="289"/>
      <c r="CB233" s="289"/>
      <c r="CC233" s="289"/>
      <c r="CD233" s="289"/>
      <c r="CE233" s="289"/>
      <c r="CF233" s="289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6"/>
      <c r="CT233" s="6"/>
      <c r="CU233" s="6"/>
      <c r="CV233" s="6"/>
      <c r="CW233" s="6"/>
      <c r="CX233" s="6"/>
      <c r="CY233" s="6"/>
      <c r="CZ233" s="6"/>
      <c r="DA233" s="343">
        <f t="shared" si="8"/>
        <v>0.6</v>
      </c>
    </row>
    <row r="234" spans="1:105" ht="20" customHeight="1" x14ac:dyDescent="0.35">
      <c r="A234" s="290"/>
      <c r="B234" s="270"/>
      <c r="C234" s="270"/>
      <c r="D234" s="297"/>
      <c r="E234" s="270"/>
      <c r="F234" s="270"/>
      <c r="G234" s="270"/>
      <c r="H234" s="298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94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7"/>
      <c r="AL234" s="288"/>
      <c r="AM234" s="287"/>
      <c r="AN234" s="287"/>
      <c r="AO234" s="287"/>
      <c r="AP234" s="286"/>
      <c r="AQ234" s="29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  <c r="BU234" s="287"/>
      <c r="BV234" s="287"/>
      <c r="BW234" s="287"/>
      <c r="BX234" s="286"/>
      <c r="BY234" s="289"/>
      <c r="BZ234" s="289"/>
      <c r="CA234" s="289"/>
      <c r="CB234" s="289"/>
      <c r="CC234" s="289"/>
      <c r="CD234" s="289"/>
      <c r="CE234" s="289"/>
      <c r="CF234" s="289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6"/>
      <c r="CT234" s="6"/>
      <c r="CU234" s="6"/>
      <c r="CV234" s="6"/>
      <c r="CW234" s="6"/>
      <c r="CX234" s="6"/>
      <c r="CY234" s="6"/>
      <c r="CZ234" s="6"/>
      <c r="DA234" s="343">
        <f t="shared" si="8"/>
        <v>0</v>
      </c>
    </row>
    <row r="235" spans="1:105" ht="20" customHeight="1" x14ac:dyDescent="0.35">
      <c r="A235" s="290"/>
      <c r="B235" s="270" t="s">
        <v>868</v>
      </c>
      <c r="C235" s="270" t="s">
        <v>247</v>
      </c>
      <c r="D235" s="297" t="s">
        <v>627</v>
      </c>
      <c r="E235" s="270" t="s">
        <v>34</v>
      </c>
      <c r="F235" s="270" t="s">
        <v>1849</v>
      </c>
      <c r="G235" s="270" t="s">
        <v>39</v>
      </c>
      <c r="H235" s="298">
        <v>7.8</v>
      </c>
      <c r="I235" s="292">
        <v>10.5</v>
      </c>
      <c r="J235" s="292">
        <v>9.5</v>
      </c>
      <c r="K235" s="286"/>
      <c r="L235" s="286">
        <v>10.5</v>
      </c>
      <c r="M235" s="286"/>
      <c r="N235" s="292">
        <v>10.5</v>
      </c>
      <c r="O235" s="286">
        <v>11</v>
      </c>
      <c r="P235" s="286">
        <v>10.5</v>
      </c>
      <c r="Q235" s="286">
        <v>10.5</v>
      </c>
      <c r="R235" s="286">
        <v>10.5</v>
      </c>
      <c r="S235" s="286">
        <v>11</v>
      </c>
      <c r="T235" s="286">
        <v>9.5</v>
      </c>
      <c r="U235" s="286"/>
      <c r="V235" s="294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>
        <v>11</v>
      </c>
      <c r="AH235" s="286"/>
      <c r="AI235" s="286">
        <v>9.5</v>
      </c>
      <c r="AJ235" s="286"/>
      <c r="AK235" s="295">
        <v>10</v>
      </c>
      <c r="AL235" s="288">
        <v>9.5</v>
      </c>
      <c r="AM235" s="287"/>
      <c r="AN235" s="287"/>
      <c r="AO235" s="286">
        <v>9.5</v>
      </c>
      <c r="AP235" s="286">
        <v>9.5</v>
      </c>
      <c r="AQ235" s="296">
        <v>11</v>
      </c>
      <c r="AR235" s="286">
        <v>9.5</v>
      </c>
      <c r="AS235" s="286"/>
      <c r="AT235" s="286">
        <v>9.5</v>
      </c>
      <c r="AU235" s="286">
        <v>9.5</v>
      </c>
      <c r="AV235" s="286">
        <v>9.5</v>
      </c>
      <c r="AW235" s="286">
        <v>9.5</v>
      </c>
      <c r="AX235" s="286">
        <v>9.5</v>
      </c>
      <c r="AY235" s="286">
        <v>9.5</v>
      </c>
      <c r="AZ235" s="286">
        <v>9.5</v>
      </c>
      <c r="BA235" s="286">
        <v>9.5</v>
      </c>
      <c r="BB235" s="286">
        <f>BA235</f>
        <v>9.5</v>
      </c>
      <c r="BC235" s="286">
        <v>9.5</v>
      </c>
      <c r="BD235" s="287"/>
      <c r="BE235" s="286">
        <v>9.5</v>
      </c>
      <c r="BF235" s="287"/>
      <c r="BG235" s="288">
        <v>11</v>
      </c>
      <c r="BH235" s="287"/>
      <c r="BI235" s="287"/>
      <c r="BJ235" s="287"/>
      <c r="BK235" s="287">
        <v>11</v>
      </c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6">
        <v>9.5</v>
      </c>
      <c r="BY235" s="289"/>
      <c r="BZ235" s="289">
        <v>10.5</v>
      </c>
      <c r="CA235" s="289"/>
      <c r="CB235" s="289"/>
      <c r="CC235" s="289"/>
      <c r="CD235" s="289"/>
      <c r="CE235" s="289"/>
      <c r="CF235" s="289"/>
      <c r="CG235" s="287"/>
      <c r="CH235" s="287"/>
      <c r="CI235" s="287"/>
      <c r="CJ235" s="287"/>
      <c r="CK235" s="287"/>
      <c r="CL235" s="287"/>
      <c r="CM235" s="292">
        <v>9.5</v>
      </c>
      <c r="CN235" s="287"/>
      <c r="CO235" s="292">
        <v>9.5</v>
      </c>
      <c r="CP235" s="287"/>
      <c r="CQ235" s="287">
        <v>10.5</v>
      </c>
      <c r="CR235" s="287"/>
      <c r="CS235" s="288">
        <f>I235</f>
        <v>10.5</v>
      </c>
      <c r="CT235" s="6"/>
      <c r="CU235" s="6"/>
      <c r="CV235" s="6"/>
      <c r="CW235" s="6"/>
      <c r="CX235" s="6"/>
      <c r="CY235" s="6"/>
      <c r="CZ235" s="6"/>
      <c r="DA235" s="343">
        <f t="shared" si="8"/>
        <v>7.8</v>
      </c>
    </row>
    <row r="236" spans="1:105" ht="20" customHeight="1" x14ac:dyDescent="0.35">
      <c r="A236" s="314"/>
      <c r="B236" s="270" t="s">
        <v>869</v>
      </c>
      <c r="C236" s="270" t="s">
        <v>248</v>
      </c>
      <c r="D236" s="297" t="s">
        <v>353</v>
      </c>
      <c r="E236" s="270" t="s">
        <v>34</v>
      </c>
      <c r="F236" s="270" t="s">
        <v>443</v>
      </c>
      <c r="G236" s="270" t="s">
        <v>39</v>
      </c>
      <c r="H236" s="298">
        <v>38</v>
      </c>
      <c r="I236" s="292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94"/>
      <c r="W236" s="286"/>
      <c r="X236" s="286"/>
      <c r="Y236" s="286"/>
      <c r="Z236" s="286"/>
      <c r="AA236" s="286"/>
      <c r="AB236" s="286"/>
      <c r="AC236" s="286">
        <v>43</v>
      </c>
      <c r="AD236" s="286"/>
      <c r="AE236" s="286"/>
      <c r="AF236" s="286"/>
      <c r="AG236" s="286"/>
      <c r="AH236" s="286"/>
      <c r="AI236" s="286"/>
      <c r="AJ236" s="286"/>
      <c r="AK236" s="287"/>
      <c r="AL236" s="288"/>
      <c r="AM236" s="287"/>
      <c r="AN236" s="287"/>
      <c r="AO236" s="287"/>
      <c r="AP236" s="286"/>
      <c r="AQ236" s="29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  <c r="BU236" s="287"/>
      <c r="BV236" s="287"/>
      <c r="BW236" s="287"/>
      <c r="BX236" s="286"/>
      <c r="BY236" s="289"/>
      <c r="BZ236" s="289"/>
      <c r="CA236" s="289"/>
      <c r="CB236" s="289"/>
      <c r="CC236" s="289"/>
      <c r="CD236" s="289"/>
      <c r="CE236" s="289"/>
      <c r="CF236" s="289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6"/>
      <c r="CT236" s="6"/>
      <c r="CU236" s="6"/>
      <c r="CV236" s="6"/>
      <c r="CW236" s="6"/>
      <c r="CX236" s="6"/>
      <c r="CY236" s="6"/>
      <c r="CZ236" s="6"/>
      <c r="DA236" s="343">
        <f t="shared" si="8"/>
        <v>38</v>
      </c>
    </row>
    <row r="237" spans="1:105" ht="20" customHeight="1" x14ac:dyDescent="0.35">
      <c r="A237" s="290">
        <v>520696</v>
      </c>
      <c r="B237" s="270" t="s">
        <v>870</v>
      </c>
      <c r="C237" s="270" t="s">
        <v>248</v>
      </c>
      <c r="D237" s="297" t="s">
        <v>353</v>
      </c>
      <c r="E237" s="270" t="s">
        <v>34</v>
      </c>
      <c r="F237" s="270" t="s">
        <v>636</v>
      </c>
      <c r="G237" s="270" t="s">
        <v>39</v>
      </c>
      <c r="H237" s="298">
        <f>H236/25*5</f>
        <v>7.6</v>
      </c>
      <c r="I237" s="300">
        <v>10</v>
      </c>
      <c r="J237" s="292">
        <v>10</v>
      </c>
      <c r="K237" s="286"/>
      <c r="L237" s="286">
        <v>10</v>
      </c>
      <c r="M237" s="286"/>
      <c r="N237" s="292">
        <v>10</v>
      </c>
      <c r="O237" s="286">
        <v>10</v>
      </c>
      <c r="P237" s="292">
        <v>10</v>
      </c>
      <c r="Q237" s="286">
        <v>10</v>
      </c>
      <c r="R237" s="286">
        <v>11</v>
      </c>
      <c r="S237" s="286">
        <v>10.5</v>
      </c>
      <c r="T237" s="286">
        <v>10</v>
      </c>
      <c r="U237" s="286"/>
      <c r="V237" s="294"/>
      <c r="W237" s="286"/>
      <c r="X237" s="286"/>
      <c r="Y237" s="286"/>
      <c r="Z237" s="286"/>
      <c r="AA237" s="286"/>
      <c r="AB237" s="286"/>
      <c r="AC237" s="286">
        <v>10</v>
      </c>
      <c r="AD237" s="286"/>
      <c r="AE237" s="286"/>
      <c r="AF237" s="286"/>
      <c r="AG237" s="286"/>
      <c r="AH237" s="286"/>
      <c r="AI237" s="286">
        <v>10</v>
      </c>
      <c r="AJ237" s="286"/>
      <c r="AK237" s="295">
        <v>10.5</v>
      </c>
      <c r="AL237" s="288"/>
      <c r="AM237" s="287">
        <v>9.5</v>
      </c>
      <c r="AN237" s="287"/>
      <c r="AO237" s="286">
        <v>10</v>
      </c>
      <c r="AP237" s="286">
        <v>10</v>
      </c>
      <c r="AQ237" s="296">
        <v>11</v>
      </c>
      <c r="AR237" s="286">
        <v>10</v>
      </c>
      <c r="AS237" s="286"/>
      <c r="AT237" s="286">
        <v>10</v>
      </c>
      <c r="AU237" s="286">
        <v>10</v>
      </c>
      <c r="AV237" s="286">
        <v>10</v>
      </c>
      <c r="AW237" s="286">
        <v>10</v>
      </c>
      <c r="AX237" s="286">
        <v>10</v>
      </c>
      <c r="AY237" s="286">
        <v>10</v>
      </c>
      <c r="AZ237" s="286">
        <v>10</v>
      </c>
      <c r="BA237" s="286">
        <v>10</v>
      </c>
      <c r="BB237" s="286">
        <f>BA237</f>
        <v>10</v>
      </c>
      <c r="BC237" s="286">
        <v>10</v>
      </c>
      <c r="BD237" s="287"/>
      <c r="BE237" s="286">
        <v>10</v>
      </c>
      <c r="BF237" s="287"/>
      <c r="BG237" s="288">
        <v>10.5</v>
      </c>
      <c r="BH237" s="292">
        <v>10</v>
      </c>
      <c r="BI237" s="287">
        <v>12</v>
      </c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  <c r="BU237" s="287">
        <v>10</v>
      </c>
      <c r="BV237" s="287"/>
      <c r="BW237" s="287"/>
      <c r="BX237" s="286">
        <v>10</v>
      </c>
      <c r="BY237" s="289"/>
      <c r="BZ237" s="289">
        <v>10</v>
      </c>
      <c r="CA237" s="289"/>
      <c r="CB237" s="289"/>
      <c r="CC237" s="289"/>
      <c r="CD237" s="289"/>
      <c r="CE237" s="289"/>
      <c r="CF237" s="289"/>
      <c r="CG237" s="287"/>
      <c r="CH237" s="287"/>
      <c r="CI237" s="287"/>
      <c r="CJ237" s="287"/>
      <c r="CK237" s="287"/>
      <c r="CL237" s="287"/>
      <c r="CM237" s="292">
        <v>10</v>
      </c>
      <c r="CN237" s="292">
        <v>10</v>
      </c>
      <c r="CO237" s="292">
        <v>10</v>
      </c>
      <c r="CP237" s="287"/>
      <c r="CQ237" s="287">
        <v>10</v>
      </c>
      <c r="CR237" s="292">
        <v>11</v>
      </c>
      <c r="CS237" s="308">
        <v>10</v>
      </c>
      <c r="CT237" s="6"/>
      <c r="CU237" s="6"/>
      <c r="CV237" s="6"/>
      <c r="CW237" s="6"/>
      <c r="CX237" s="6"/>
      <c r="CY237" s="6"/>
      <c r="CZ237" s="6"/>
      <c r="DA237" s="343">
        <f t="shared" si="8"/>
        <v>7.6</v>
      </c>
    </row>
    <row r="238" spans="1:105" ht="20" customHeight="1" x14ac:dyDescent="0.35">
      <c r="A238" s="290" t="s">
        <v>2098</v>
      </c>
      <c r="B238" s="270" t="s">
        <v>870</v>
      </c>
      <c r="C238" s="270" t="s">
        <v>248</v>
      </c>
      <c r="D238" s="297" t="s">
        <v>353</v>
      </c>
      <c r="E238" s="270" t="s">
        <v>34</v>
      </c>
      <c r="F238" s="270" t="s">
        <v>636</v>
      </c>
      <c r="G238" s="270" t="s">
        <v>39</v>
      </c>
      <c r="H238" s="298">
        <f>H237/25*5</f>
        <v>1.52</v>
      </c>
      <c r="I238" s="300"/>
      <c r="J238" s="292"/>
      <c r="K238" s="286"/>
      <c r="L238" s="286"/>
      <c r="M238" s="286"/>
      <c r="N238" s="292"/>
      <c r="O238" s="286"/>
      <c r="P238" s="292"/>
      <c r="Q238" s="286"/>
      <c r="R238" s="286"/>
      <c r="S238" s="286"/>
      <c r="T238" s="286"/>
      <c r="U238" s="286"/>
      <c r="V238" s="294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95"/>
      <c r="AL238" s="288"/>
      <c r="AM238" s="287"/>
      <c r="AN238" s="287"/>
      <c r="AO238" s="286"/>
      <c r="AP238" s="286"/>
      <c r="AQ238" s="29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7"/>
      <c r="BE238" s="286"/>
      <c r="BF238" s="287"/>
      <c r="BG238" s="288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6"/>
      <c r="BY238" s="289"/>
      <c r="BZ238" s="289"/>
      <c r="CA238" s="289"/>
      <c r="CB238" s="289"/>
      <c r="CC238" s="289"/>
      <c r="CD238" s="289"/>
      <c r="CE238" s="289"/>
      <c r="CF238" s="289"/>
      <c r="CG238" s="287"/>
      <c r="CH238" s="287"/>
      <c r="CI238" s="287"/>
      <c r="CJ238" s="287"/>
      <c r="CK238" s="287"/>
      <c r="CL238" s="287"/>
      <c r="CM238" s="292"/>
      <c r="CN238" s="287"/>
      <c r="CO238" s="292"/>
      <c r="CP238" s="287"/>
      <c r="CQ238" s="287">
        <v>10</v>
      </c>
      <c r="CR238" s="292">
        <v>10</v>
      </c>
      <c r="CS238" s="308">
        <v>10</v>
      </c>
      <c r="CT238" s="6"/>
      <c r="CU238" s="6"/>
      <c r="CV238" s="6"/>
      <c r="CW238" s="6"/>
      <c r="CX238" s="6"/>
      <c r="CY238" s="6"/>
      <c r="CZ238" s="6"/>
      <c r="DA238" s="343">
        <f>H238</f>
        <v>1.52</v>
      </c>
    </row>
    <row r="239" spans="1:105" ht="20" customHeight="1" x14ac:dyDescent="0.35">
      <c r="A239" s="278"/>
      <c r="B239" s="270" t="s">
        <v>871</v>
      </c>
      <c r="C239" s="270" t="s">
        <v>248</v>
      </c>
      <c r="D239" s="270"/>
      <c r="E239" s="270" t="s">
        <v>353</v>
      </c>
      <c r="F239" s="270" t="s">
        <v>66</v>
      </c>
      <c r="G239" s="270" t="s">
        <v>39</v>
      </c>
      <c r="H239" s="298">
        <f>H237/5</f>
        <v>1.52</v>
      </c>
      <c r="I239" s="286"/>
      <c r="J239" s="286">
        <v>2.1</v>
      </c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94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9">
        <v>2.1</v>
      </c>
      <c r="AK239" s="287"/>
      <c r="AL239" s="288"/>
      <c r="AM239" s="287">
        <f>AM237/5+0.5</f>
        <v>2.4</v>
      </c>
      <c r="AN239" s="287"/>
      <c r="AO239" s="287"/>
      <c r="AP239" s="286"/>
      <c r="AQ239" s="29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  <c r="BC239" s="286"/>
      <c r="BD239" s="287"/>
      <c r="BE239" s="287"/>
      <c r="BF239" s="287"/>
      <c r="BG239" s="287"/>
      <c r="BH239" s="287"/>
      <c r="BI239" s="287"/>
      <c r="BJ239" s="287"/>
      <c r="BK239" s="287"/>
      <c r="BL239" s="287"/>
      <c r="BM239" s="287"/>
      <c r="BN239" s="287"/>
      <c r="BO239" s="287"/>
      <c r="BP239" s="287"/>
      <c r="BQ239" s="287"/>
      <c r="BR239" s="287"/>
      <c r="BS239" s="287"/>
      <c r="BT239" s="287"/>
      <c r="BU239" s="287"/>
      <c r="BV239" s="287"/>
      <c r="BW239" s="287"/>
      <c r="BX239" s="286"/>
      <c r="BY239" s="289"/>
      <c r="BZ239" s="289"/>
      <c r="CA239" s="289"/>
      <c r="CB239" s="289"/>
      <c r="CC239" s="289"/>
      <c r="CD239" s="289"/>
      <c r="CE239" s="289"/>
      <c r="CF239" s="289"/>
      <c r="CG239" s="287"/>
      <c r="CH239" s="287"/>
      <c r="CI239" s="287"/>
      <c r="CJ239" s="287"/>
      <c r="CK239" s="287"/>
      <c r="CL239" s="287"/>
      <c r="CM239" s="287"/>
      <c r="CN239" s="287"/>
      <c r="CO239" s="287"/>
      <c r="CP239" s="287"/>
      <c r="CQ239" s="287"/>
      <c r="CR239" s="287"/>
      <c r="CS239" s="6"/>
      <c r="CT239" s="6"/>
      <c r="CU239" s="6"/>
      <c r="CV239" s="6"/>
      <c r="CW239" s="6"/>
      <c r="CX239" s="6"/>
      <c r="CY239" s="6"/>
      <c r="CZ239" s="6"/>
      <c r="DA239" s="343">
        <f t="shared" si="8"/>
        <v>1.52</v>
      </c>
    </row>
    <row r="240" spans="1:105" ht="20" customHeight="1" x14ac:dyDescent="0.35">
      <c r="A240" s="290"/>
      <c r="B240" s="270" t="s">
        <v>872</v>
      </c>
      <c r="C240" s="270" t="s">
        <v>249</v>
      </c>
      <c r="D240" s="297" t="s">
        <v>655</v>
      </c>
      <c r="E240" s="270" t="s">
        <v>34</v>
      </c>
      <c r="F240" s="270" t="s">
        <v>1848</v>
      </c>
      <c r="G240" s="270" t="s">
        <v>39</v>
      </c>
      <c r="H240" s="298">
        <v>51</v>
      </c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94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7"/>
      <c r="AL240" s="288"/>
      <c r="AM240" s="287"/>
      <c r="AN240" s="287"/>
      <c r="AO240" s="287"/>
      <c r="AP240" s="286"/>
      <c r="AQ240" s="29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  <c r="BU240" s="287"/>
      <c r="BV240" s="287"/>
      <c r="BW240" s="287"/>
      <c r="BX240" s="286"/>
      <c r="BY240" s="289"/>
      <c r="BZ240" s="289"/>
      <c r="CA240" s="289"/>
      <c r="CB240" s="289"/>
      <c r="CC240" s="289"/>
      <c r="CD240" s="289"/>
      <c r="CE240" s="289"/>
      <c r="CF240" s="289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6"/>
      <c r="CT240" s="6"/>
      <c r="CU240" s="6"/>
      <c r="CV240" s="6"/>
      <c r="CW240" s="6"/>
      <c r="CX240" s="6"/>
      <c r="CY240" s="6"/>
      <c r="CZ240" s="6"/>
      <c r="DA240" s="343">
        <f t="shared" si="8"/>
        <v>51</v>
      </c>
    </row>
    <row r="241" spans="1:105" ht="20" customHeight="1" x14ac:dyDescent="0.35">
      <c r="A241" s="290" t="s">
        <v>101</v>
      </c>
      <c r="B241" s="270" t="s">
        <v>873</v>
      </c>
      <c r="C241" s="270" t="s">
        <v>249</v>
      </c>
      <c r="D241" s="297" t="s">
        <v>655</v>
      </c>
      <c r="E241" s="270" t="s">
        <v>34</v>
      </c>
      <c r="F241" s="270" t="s">
        <v>636</v>
      </c>
      <c r="G241" s="270" t="s">
        <v>39</v>
      </c>
      <c r="H241" s="298">
        <f>H240/30*5</f>
        <v>8.5</v>
      </c>
      <c r="I241" s="292">
        <v>11</v>
      </c>
      <c r="J241" s="292">
        <v>11</v>
      </c>
      <c r="K241" s="286"/>
      <c r="L241" s="286">
        <v>12</v>
      </c>
      <c r="M241" s="286"/>
      <c r="N241" s="292">
        <v>11</v>
      </c>
      <c r="O241" s="286">
        <v>10</v>
      </c>
      <c r="P241" s="292">
        <v>11</v>
      </c>
      <c r="Q241" s="286">
        <v>11</v>
      </c>
      <c r="R241" s="286">
        <v>11</v>
      </c>
      <c r="S241" s="286">
        <v>11</v>
      </c>
      <c r="T241" s="286">
        <v>11</v>
      </c>
      <c r="U241" s="286"/>
      <c r="V241" s="294"/>
      <c r="W241" s="286"/>
      <c r="X241" s="286"/>
      <c r="Y241" s="286"/>
      <c r="Z241" s="286"/>
      <c r="AA241" s="286"/>
      <c r="AB241" s="286">
        <v>11</v>
      </c>
      <c r="AC241" s="292">
        <v>11</v>
      </c>
      <c r="AD241" s="286"/>
      <c r="AE241" s="286"/>
      <c r="AF241" s="286"/>
      <c r="AG241" s="286">
        <v>11</v>
      </c>
      <c r="AH241" s="286"/>
      <c r="AI241" s="286"/>
      <c r="AJ241" s="286"/>
      <c r="AK241" s="295">
        <v>11</v>
      </c>
      <c r="AL241" s="288">
        <v>11</v>
      </c>
      <c r="AM241" s="287">
        <v>11</v>
      </c>
      <c r="AN241" s="287"/>
      <c r="AO241" s="287"/>
      <c r="AP241" s="286">
        <v>11</v>
      </c>
      <c r="AQ241" s="296">
        <v>12.5</v>
      </c>
      <c r="AR241" s="286">
        <v>11</v>
      </c>
      <c r="AS241" s="286"/>
      <c r="AT241" s="286">
        <v>11</v>
      </c>
      <c r="AU241" s="286">
        <v>11</v>
      </c>
      <c r="AV241" s="286">
        <v>11</v>
      </c>
      <c r="AW241" s="286">
        <v>11</v>
      </c>
      <c r="AX241" s="286">
        <v>11</v>
      </c>
      <c r="AY241" s="286">
        <v>11</v>
      </c>
      <c r="AZ241" s="286">
        <v>11</v>
      </c>
      <c r="BA241" s="286">
        <v>11</v>
      </c>
      <c r="BB241" s="286">
        <f>BA241</f>
        <v>11</v>
      </c>
      <c r="BC241" s="286">
        <v>11</v>
      </c>
      <c r="BD241" s="287"/>
      <c r="BE241" s="287"/>
      <c r="BF241" s="287"/>
      <c r="BG241" s="288">
        <v>11.5</v>
      </c>
      <c r="BH241" s="287"/>
      <c r="BI241" s="287"/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  <c r="BU241" s="287">
        <v>11</v>
      </c>
      <c r="BV241" s="287"/>
      <c r="BW241" s="287"/>
      <c r="BX241" s="286"/>
      <c r="BY241" s="289"/>
      <c r="BZ241" s="289">
        <v>11</v>
      </c>
      <c r="CA241" s="289"/>
      <c r="CB241" s="289"/>
      <c r="CC241" s="289"/>
      <c r="CD241" s="289"/>
      <c r="CE241" s="289"/>
      <c r="CF241" s="289"/>
      <c r="CG241" s="287"/>
      <c r="CH241" s="287"/>
      <c r="CI241" s="287"/>
      <c r="CJ241" s="287"/>
      <c r="CK241" s="287"/>
      <c r="CL241" s="287"/>
      <c r="CM241" s="287"/>
      <c r="CN241" s="292">
        <v>11</v>
      </c>
      <c r="CO241" s="292">
        <v>11</v>
      </c>
      <c r="CP241" s="287"/>
      <c r="CQ241" s="287">
        <v>11</v>
      </c>
      <c r="CR241" s="287">
        <v>12</v>
      </c>
      <c r="CS241" s="288">
        <f>I241</f>
        <v>11</v>
      </c>
      <c r="CT241" s="6"/>
      <c r="CU241" s="6"/>
      <c r="CV241" s="6"/>
      <c r="CW241" s="6"/>
      <c r="CX241" s="6"/>
      <c r="CY241" s="6"/>
      <c r="CZ241" s="6"/>
      <c r="DA241" s="343">
        <f t="shared" si="8"/>
        <v>8.5</v>
      </c>
    </row>
    <row r="242" spans="1:105" ht="20" customHeight="1" x14ac:dyDescent="0.35">
      <c r="A242" s="290"/>
      <c r="B242" s="270" t="s">
        <v>874</v>
      </c>
      <c r="C242" s="270" t="s">
        <v>249</v>
      </c>
      <c r="D242" s="270"/>
      <c r="E242" s="270" t="s">
        <v>34</v>
      </c>
      <c r="F242" s="270" t="s">
        <v>66</v>
      </c>
      <c r="G242" s="270" t="s">
        <v>39</v>
      </c>
      <c r="H242" s="298">
        <f>H240/30</f>
        <v>1.7</v>
      </c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94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7"/>
      <c r="AL242" s="288"/>
      <c r="AM242" s="287">
        <v>2.2999999999999998</v>
      </c>
      <c r="AN242" s="287"/>
      <c r="AO242" s="287"/>
      <c r="AP242" s="286"/>
      <c r="AQ242" s="29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  <c r="BC242" s="286"/>
      <c r="BD242" s="287"/>
      <c r="BE242" s="287"/>
      <c r="BF242" s="287"/>
      <c r="BG242" s="287"/>
      <c r="BH242" s="287"/>
      <c r="BI242" s="287"/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  <c r="BU242" s="287"/>
      <c r="BV242" s="287"/>
      <c r="BW242" s="287"/>
      <c r="BX242" s="286"/>
      <c r="BY242" s="289"/>
      <c r="BZ242" s="289"/>
      <c r="CA242" s="289"/>
      <c r="CB242" s="289"/>
      <c r="CC242" s="289"/>
      <c r="CD242" s="289"/>
      <c r="CE242" s="289"/>
      <c r="CF242" s="289"/>
      <c r="CG242" s="287"/>
      <c r="CH242" s="287"/>
      <c r="CI242" s="287"/>
      <c r="CJ242" s="287"/>
      <c r="CK242" s="287"/>
      <c r="CL242" s="287"/>
      <c r="CM242" s="287"/>
      <c r="CN242" s="287"/>
      <c r="CO242" s="287"/>
      <c r="CP242" s="287"/>
      <c r="CQ242" s="287"/>
      <c r="CR242" s="287"/>
      <c r="CS242" s="6"/>
      <c r="CT242" s="6"/>
      <c r="CU242" s="6"/>
      <c r="CV242" s="6"/>
      <c r="CW242" s="6"/>
      <c r="CX242" s="6"/>
      <c r="CY242" s="6"/>
      <c r="CZ242" s="6"/>
      <c r="DA242" s="343">
        <f t="shared" si="8"/>
        <v>1.7</v>
      </c>
    </row>
    <row r="243" spans="1:105" ht="20" customHeight="1" x14ac:dyDescent="0.35">
      <c r="A243" s="290"/>
      <c r="B243" s="270" t="s">
        <v>875</v>
      </c>
      <c r="C243" s="270" t="s">
        <v>249</v>
      </c>
      <c r="D243" s="270"/>
      <c r="E243" s="270" t="s">
        <v>34</v>
      </c>
      <c r="F243" s="270" t="s">
        <v>1843</v>
      </c>
      <c r="G243" s="270" t="s">
        <v>39</v>
      </c>
      <c r="H243" s="298">
        <f>H242*2.5</f>
        <v>4.25</v>
      </c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94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7"/>
      <c r="AL243" s="288"/>
      <c r="AM243" s="287"/>
      <c r="AN243" s="287"/>
      <c r="AO243" s="287"/>
      <c r="AP243" s="286"/>
      <c r="AQ243" s="29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7"/>
      <c r="BE243" s="287"/>
      <c r="BF243" s="287"/>
      <c r="BG243" s="287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  <c r="BU243" s="287"/>
      <c r="BV243" s="287"/>
      <c r="BW243" s="287"/>
      <c r="BX243" s="286"/>
      <c r="BY243" s="289"/>
      <c r="BZ243" s="289"/>
      <c r="CA243" s="289"/>
      <c r="CB243" s="289"/>
      <c r="CC243" s="289"/>
      <c r="CD243" s="289"/>
      <c r="CE243" s="289"/>
      <c r="CF243" s="289"/>
      <c r="CG243" s="287"/>
      <c r="CH243" s="287"/>
      <c r="CI243" s="287"/>
      <c r="CJ243" s="287"/>
      <c r="CK243" s="287"/>
      <c r="CL243" s="287"/>
      <c r="CM243" s="287"/>
      <c r="CN243" s="287"/>
      <c r="CO243" s="287"/>
      <c r="CP243" s="287"/>
      <c r="CQ243" s="287"/>
      <c r="CR243" s="287"/>
      <c r="CS243" s="6"/>
      <c r="CT243" s="6"/>
      <c r="CU243" s="6"/>
      <c r="CV243" s="6"/>
      <c r="CW243" s="6"/>
      <c r="CX243" s="6"/>
      <c r="CY243" s="6"/>
      <c r="CZ243" s="6"/>
      <c r="DA243" s="343">
        <f t="shared" si="8"/>
        <v>4.25</v>
      </c>
    </row>
    <row r="244" spans="1:105" ht="20" customHeight="1" x14ac:dyDescent="0.35">
      <c r="A244" s="290"/>
      <c r="B244" s="270" t="s">
        <v>876</v>
      </c>
      <c r="C244" s="270" t="s">
        <v>250</v>
      </c>
      <c r="D244" s="297" t="s">
        <v>655</v>
      </c>
      <c r="E244" s="270" t="s">
        <v>34</v>
      </c>
      <c r="F244" s="270" t="s">
        <v>1848</v>
      </c>
      <c r="G244" s="270" t="s">
        <v>39</v>
      </c>
      <c r="H244" s="298">
        <v>44</v>
      </c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94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7"/>
      <c r="AL244" s="288"/>
      <c r="AM244" s="287"/>
      <c r="AN244" s="287"/>
      <c r="AO244" s="287"/>
      <c r="AP244" s="286"/>
      <c r="AQ244" s="29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  <c r="BU244" s="287"/>
      <c r="BV244" s="287"/>
      <c r="BW244" s="287"/>
      <c r="BX244" s="286"/>
      <c r="BY244" s="289"/>
      <c r="BZ244" s="289"/>
      <c r="CA244" s="289"/>
      <c r="CB244" s="289"/>
      <c r="CC244" s="289"/>
      <c r="CD244" s="289"/>
      <c r="CE244" s="289"/>
      <c r="CF244" s="289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6"/>
      <c r="CT244" s="6"/>
      <c r="CU244" s="6"/>
      <c r="CV244" s="6"/>
      <c r="CW244" s="6"/>
      <c r="CX244" s="6"/>
      <c r="CY244" s="6"/>
      <c r="CZ244" s="6"/>
      <c r="DA244" s="343">
        <f t="shared" si="8"/>
        <v>44</v>
      </c>
    </row>
    <row r="245" spans="1:105" ht="20" customHeight="1" x14ac:dyDescent="0.35">
      <c r="A245" s="290">
        <v>520744</v>
      </c>
      <c r="B245" s="270" t="s">
        <v>877</v>
      </c>
      <c r="C245" s="270" t="s">
        <v>250</v>
      </c>
      <c r="D245" s="297" t="s">
        <v>655</v>
      </c>
      <c r="E245" s="270" t="s">
        <v>34</v>
      </c>
      <c r="F245" s="270" t="s">
        <v>636</v>
      </c>
      <c r="G245" s="270" t="s">
        <v>39</v>
      </c>
      <c r="H245" s="298">
        <f>H243/30*5</f>
        <v>0.70833333333333326</v>
      </c>
      <c r="I245" s="292">
        <v>10</v>
      </c>
      <c r="J245" s="292">
        <v>10</v>
      </c>
      <c r="K245" s="286"/>
      <c r="L245" s="286">
        <v>12</v>
      </c>
      <c r="M245" s="286"/>
      <c r="N245" s="292">
        <v>10.5</v>
      </c>
      <c r="O245" s="286">
        <v>10.5</v>
      </c>
      <c r="P245" s="292">
        <v>11</v>
      </c>
      <c r="Q245" s="286">
        <v>11</v>
      </c>
      <c r="R245" s="286">
        <v>11</v>
      </c>
      <c r="S245" s="286">
        <v>11</v>
      </c>
      <c r="T245" s="286">
        <v>10</v>
      </c>
      <c r="U245" s="286"/>
      <c r="V245" s="294"/>
      <c r="W245" s="286"/>
      <c r="X245" s="286"/>
      <c r="Y245" s="286"/>
      <c r="Z245" s="286"/>
      <c r="AA245" s="286">
        <v>13.5</v>
      </c>
      <c r="AB245" s="286"/>
      <c r="AC245" s="286">
        <v>10.5</v>
      </c>
      <c r="AD245" s="286"/>
      <c r="AE245" s="286"/>
      <c r="AF245" s="286"/>
      <c r="AG245" s="286">
        <v>11.5</v>
      </c>
      <c r="AH245" s="286"/>
      <c r="AI245" s="286">
        <v>10</v>
      </c>
      <c r="AJ245" s="286"/>
      <c r="AK245" s="295">
        <v>10.5</v>
      </c>
      <c r="AL245" s="288">
        <v>10</v>
      </c>
      <c r="AM245" s="287">
        <v>11</v>
      </c>
      <c r="AN245" s="287"/>
      <c r="AO245" s="287">
        <v>10</v>
      </c>
      <c r="AP245" s="286">
        <v>10</v>
      </c>
      <c r="AQ245" s="296">
        <v>11.5</v>
      </c>
      <c r="AR245" s="286">
        <v>10</v>
      </c>
      <c r="AS245" s="286"/>
      <c r="AT245" s="286">
        <v>10</v>
      </c>
      <c r="AU245" s="286">
        <v>10</v>
      </c>
      <c r="AV245" s="286">
        <v>10</v>
      </c>
      <c r="AW245" s="286">
        <v>10</v>
      </c>
      <c r="AX245" s="286">
        <v>10</v>
      </c>
      <c r="AY245" s="286">
        <v>10</v>
      </c>
      <c r="AZ245" s="286">
        <v>10</v>
      </c>
      <c r="BA245" s="286">
        <v>10</v>
      </c>
      <c r="BB245" s="286">
        <f>BA245</f>
        <v>10</v>
      </c>
      <c r="BC245" s="286">
        <v>10</v>
      </c>
      <c r="BD245" s="287"/>
      <c r="BE245" s="286">
        <v>10</v>
      </c>
      <c r="BF245" s="287"/>
      <c r="BG245" s="288">
        <v>11.5</v>
      </c>
      <c r="BH245" s="286">
        <v>10</v>
      </c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>
        <v>11</v>
      </c>
      <c r="BV245" s="287"/>
      <c r="BW245" s="287"/>
      <c r="BX245" s="286">
        <f>J245</f>
        <v>10</v>
      </c>
      <c r="BY245" s="289"/>
      <c r="BZ245" s="289">
        <v>11</v>
      </c>
      <c r="CA245" s="289"/>
      <c r="CB245" s="289"/>
      <c r="CC245" s="289"/>
      <c r="CD245" s="289"/>
      <c r="CE245" s="289"/>
      <c r="CF245" s="289"/>
      <c r="CG245" s="287"/>
      <c r="CH245" s="287"/>
      <c r="CI245" s="287"/>
      <c r="CJ245" s="287"/>
      <c r="CK245" s="287"/>
      <c r="CL245" s="287"/>
      <c r="CM245" s="286">
        <v>10</v>
      </c>
      <c r="CN245" s="286">
        <v>10</v>
      </c>
      <c r="CO245" s="292">
        <v>10</v>
      </c>
      <c r="CP245" s="287"/>
      <c r="CQ245" s="287">
        <v>10.5</v>
      </c>
      <c r="CR245" s="286">
        <v>11</v>
      </c>
      <c r="CS245" s="288">
        <f>I245</f>
        <v>10</v>
      </c>
      <c r="CT245" s="6"/>
      <c r="CU245" s="6"/>
      <c r="CV245" s="6"/>
      <c r="CW245" s="6"/>
      <c r="CX245" s="6"/>
      <c r="CY245" s="6"/>
      <c r="CZ245" s="6"/>
      <c r="DA245" s="343">
        <f>H245</f>
        <v>0.70833333333333326</v>
      </c>
    </row>
    <row r="246" spans="1:105" ht="20" customHeight="1" x14ac:dyDescent="0.35">
      <c r="A246" s="290" t="s">
        <v>2114</v>
      </c>
      <c r="B246" s="270" t="s">
        <v>877</v>
      </c>
      <c r="C246" s="270" t="s">
        <v>250</v>
      </c>
      <c r="D246" s="297" t="s">
        <v>655</v>
      </c>
      <c r="E246" s="270" t="s">
        <v>34</v>
      </c>
      <c r="F246" s="270" t="s">
        <v>636</v>
      </c>
      <c r="G246" s="270" t="s">
        <v>39</v>
      </c>
      <c r="H246" s="298">
        <f>H244/30*5</f>
        <v>7.333333333333333</v>
      </c>
      <c r="I246" s="292">
        <v>10</v>
      </c>
      <c r="J246" s="292"/>
      <c r="K246" s="286"/>
      <c r="L246" s="286"/>
      <c r="M246" s="286"/>
      <c r="N246" s="292"/>
      <c r="O246" s="286"/>
      <c r="P246" s="292"/>
      <c r="Q246" s="286"/>
      <c r="R246" s="286"/>
      <c r="S246" s="286"/>
      <c r="T246" s="286"/>
      <c r="U246" s="286"/>
      <c r="V246" s="294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95"/>
      <c r="AL246" s="288"/>
      <c r="AM246" s="287"/>
      <c r="AN246" s="287"/>
      <c r="AO246" s="287"/>
      <c r="AP246" s="286"/>
      <c r="AQ246" s="29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  <c r="BC246" s="286"/>
      <c r="BD246" s="287"/>
      <c r="BE246" s="286"/>
      <c r="BF246" s="287"/>
      <c r="BG246" s="288"/>
      <c r="BH246" s="286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/>
      <c r="BV246" s="287"/>
      <c r="BW246" s="287"/>
      <c r="BX246" s="286"/>
      <c r="BY246" s="289"/>
      <c r="BZ246" s="289"/>
      <c r="CA246" s="289"/>
      <c r="CB246" s="289"/>
      <c r="CC246" s="289"/>
      <c r="CD246" s="289"/>
      <c r="CE246" s="289"/>
      <c r="CF246" s="289"/>
      <c r="CG246" s="287"/>
      <c r="CH246" s="287"/>
      <c r="CI246" s="287"/>
      <c r="CJ246" s="287"/>
      <c r="CK246" s="287"/>
      <c r="CL246" s="287"/>
      <c r="CM246" s="286"/>
      <c r="CN246" s="286"/>
      <c r="CO246" s="292"/>
      <c r="CP246" s="287"/>
      <c r="CQ246" s="287">
        <v>10.5</v>
      </c>
      <c r="CR246" s="286"/>
      <c r="CS246" s="288">
        <f>I246</f>
        <v>10</v>
      </c>
      <c r="CT246" s="6"/>
      <c r="CU246" s="6"/>
      <c r="CV246" s="6"/>
      <c r="CW246" s="6"/>
      <c r="CX246" s="6"/>
      <c r="CY246" s="6"/>
      <c r="CZ246" s="6"/>
      <c r="DA246" s="343">
        <f t="shared" si="8"/>
        <v>7.333333333333333</v>
      </c>
    </row>
    <row r="247" spans="1:105" ht="20" customHeight="1" x14ac:dyDescent="0.35">
      <c r="A247" s="290"/>
      <c r="B247" s="270" t="s">
        <v>878</v>
      </c>
      <c r="C247" s="270" t="s">
        <v>250</v>
      </c>
      <c r="D247" s="270"/>
      <c r="E247" s="270" t="s">
        <v>34</v>
      </c>
      <c r="F247" s="270" t="s">
        <v>66</v>
      </c>
      <c r="G247" s="270" t="s">
        <v>39</v>
      </c>
      <c r="H247" s="298">
        <f>H244/30</f>
        <v>1.4666666666666666</v>
      </c>
      <c r="I247" s="286">
        <f>I246/5+0.2</f>
        <v>2.2000000000000002</v>
      </c>
      <c r="J247" s="286"/>
      <c r="K247" s="286"/>
      <c r="L247" s="286"/>
      <c r="M247" s="286"/>
      <c r="N247" s="286"/>
      <c r="O247" s="286"/>
      <c r="P247" s="286"/>
      <c r="Q247" s="286">
        <v>2.2999999999999998</v>
      </c>
      <c r="R247" s="286"/>
      <c r="S247" s="286"/>
      <c r="T247" s="286"/>
      <c r="U247" s="286"/>
      <c r="V247" s="294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>
        <v>2.2999999999999998</v>
      </c>
      <c r="AK247" s="287"/>
      <c r="AL247" s="288"/>
      <c r="AM247" s="287">
        <v>2.2999999999999998</v>
      </c>
      <c r="AN247" s="287"/>
      <c r="AO247" s="287"/>
      <c r="AP247" s="286"/>
      <c r="AQ247" s="29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  <c r="BU247" s="287"/>
      <c r="BV247" s="287"/>
      <c r="BW247" s="287"/>
      <c r="BX247" s="286"/>
      <c r="BY247" s="289">
        <v>2.1</v>
      </c>
      <c r="BZ247" s="289"/>
      <c r="CA247" s="289"/>
      <c r="CB247" s="289"/>
      <c r="CC247" s="289"/>
      <c r="CD247" s="289"/>
      <c r="CE247" s="289"/>
      <c r="CF247" s="289"/>
      <c r="CG247" s="287"/>
      <c r="CH247" s="287"/>
      <c r="CI247" s="287"/>
      <c r="CJ247" s="287">
        <v>2.1</v>
      </c>
      <c r="CK247" s="287"/>
      <c r="CL247" s="287"/>
      <c r="CM247" s="287"/>
      <c r="CN247" s="287"/>
      <c r="CO247" s="287"/>
      <c r="CP247" s="287"/>
      <c r="CQ247" s="287"/>
      <c r="CR247" s="287"/>
      <c r="CS247" s="288">
        <f>I247</f>
        <v>2.2000000000000002</v>
      </c>
      <c r="CT247" s="6"/>
      <c r="CU247" s="6"/>
      <c r="CV247" s="6"/>
      <c r="CW247" s="6"/>
      <c r="CX247" s="6"/>
      <c r="CY247" s="6"/>
      <c r="CZ247" s="6"/>
      <c r="DA247" s="343">
        <f t="shared" si="8"/>
        <v>1.4666666666666666</v>
      </c>
    </row>
    <row r="248" spans="1:105" ht="20" customHeight="1" x14ac:dyDescent="0.35">
      <c r="A248" s="290"/>
      <c r="B248" s="270" t="s">
        <v>879</v>
      </c>
      <c r="C248" s="270" t="s">
        <v>251</v>
      </c>
      <c r="D248" s="297" t="s">
        <v>655</v>
      </c>
      <c r="E248" s="270" t="s">
        <v>1085</v>
      </c>
      <c r="F248" s="270" t="s">
        <v>1850</v>
      </c>
      <c r="G248" s="270" t="s">
        <v>33</v>
      </c>
      <c r="H248" s="349">
        <f>H249*15</f>
        <v>132</v>
      </c>
      <c r="I248" s="292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94"/>
      <c r="W248" s="286"/>
      <c r="X248" s="286"/>
      <c r="Y248" s="286"/>
      <c r="Z248" s="286"/>
      <c r="AA248" s="286"/>
      <c r="AB248" s="286"/>
      <c r="AC248" s="286">
        <v>160</v>
      </c>
      <c r="AD248" s="286"/>
      <c r="AE248" s="286"/>
      <c r="AF248" s="286"/>
      <c r="AG248" s="286"/>
      <c r="AH248" s="286"/>
      <c r="AI248" s="286"/>
      <c r="AJ248" s="286"/>
      <c r="AK248" s="287"/>
      <c r="AL248" s="288"/>
      <c r="AM248" s="287"/>
      <c r="AN248" s="287"/>
      <c r="AO248" s="287"/>
      <c r="AP248" s="286"/>
      <c r="AQ248" s="29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  <c r="BU248" s="287"/>
      <c r="BV248" s="287"/>
      <c r="BW248" s="287"/>
      <c r="BX248" s="286"/>
      <c r="BY248" s="289"/>
      <c r="BZ248" s="289"/>
      <c r="CA248" s="289"/>
      <c r="CB248" s="289"/>
      <c r="CC248" s="289"/>
      <c r="CD248" s="289"/>
      <c r="CE248" s="289"/>
      <c r="CF248" s="289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6"/>
      <c r="CT248" s="6"/>
      <c r="CU248" s="6"/>
      <c r="CV248" s="6"/>
      <c r="CW248" s="6"/>
      <c r="CX248" s="6"/>
      <c r="CY248" s="6"/>
      <c r="CZ248" s="6"/>
      <c r="DA248" s="343">
        <f t="shared" si="8"/>
        <v>132</v>
      </c>
    </row>
    <row r="249" spans="1:105" ht="20" customHeight="1" x14ac:dyDescent="0.35">
      <c r="A249" s="290">
        <v>520714</v>
      </c>
      <c r="B249" s="270" t="s">
        <v>880</v>
      </c>
      <c r="C249" s="270" t="s">
        <v>251</v>
      </c>
      <c r="D249" s="297" t="s">
        <v>655</v>
      </c>
      <c r="E249" s="270" t="s">
        <v>214</v>
      </c>
      <c r="F249" s="270" t="s">
        <v>32</v>
      </c>
      <c r="G249" s="270" t="s">
        <v>39</v>
      </c>
      <c r="H249" s="349">
        <v>8.8000000000000007</v>
      </c>
      <c r="I249" s="300">
        <v>13</v>
      </c>
      <c r="J249" s="292">
        <v>12</v>
      </c>
      <c r="K249" s="286"/>
      <c r="L249" s="286">
        <v>14</v>
      </c>
      <c r="M249" s="286"/>
      <c r="N249" s="292">
        <v>13</v>
      </c>
      <c r="O249" s="286">
        <v>12</v>
      </c>
      <c r="P249" s="292">
        <v>13</v>
      </c>
      <c r="Q249" s="286">
        <v>13</v>
      </c>
      <c r="R249" s="286"/>
      <c r="S249" s="286">
        <v>15</v>
      </c>
      <c r="T249" s="286">
        <v>12</v>
      </c>
      <c r="U249" s="286"/>
      <c r="V249" s="294"/>
      <c r="W249" s="286"/>
      <c r="X249" s="286"/>
      <c r="Y249" s="286"/>
      <c r="Z249" s="286"/>
      <c r="AA249" s="286"/>
      <c r="AB249" s="286">
        <v>13</v>
      </c>
      <c r="AC249" s="286">
        <v>12</v>
      </c>
      <c r="AD249" s="286"/>
      <c r="AE249" s="286"/>
      <c r="AF249" s="286"/>
      <c r="AG249" s="286"/>
      <c r="AH249" s="286"/>
      <c r="AI249" s="286">
        <v>12</v>
      </c>
      <c r="AJ249" s="286"/>
      <c r="AK249" s="295"/>
      <c r="AL249" s="288"/>
      <c r="AM249" s="287">
        <v>13</v>
      </c>
      <c r="AN249" s="287"/>
      <c r="AO249" s="287"/>
      <c r="AP249" s="286">
        <v>12</v>
      </c>
      <c r="AQ249" s="296">
        <v>13</v>
      </c>
      <c r="AR249" s="286">
        <v>12</v>
      </c>
      <c r="AS249" s="286"/>
      <c r="AT249" s="286"/>
      <c r="AU249" s="286"/>
      <c r="AV249" s="286"/>
      <c r="AW249" s="286"/>
      <c r="AX249" s="286"/>
      <c r="AY249" s="286">
        <v>12</v>
      </c>
      <c r="AZ249" s="286"/>
      <c r="BA249" s="286"/>
      <c r="BB249" s="286">
        <v>12</v>
      </c>
      <c r="BC249" s="286"/>
      <c r="BD249" s="287"/>
      <c r="BE249" s="287"/>
      <c r="BF249" s="287"/>
      <c r="BG249" s="288">
        <v>13</v>
      </c>
      <c r="BH249" s="287"/>
      <c r="BI249" s="287"/>
      <c r="BJ249" s="287"/>
      <c r="BK249" s="287">
        <v>14</v>
      </c>
      <c r="BL249" s="287"/>
      <c r="BM249" s="287"/>
      <c r="BN249" s="287"/>
      <c r="BO249" s="287"/>
      <c r="BP249" s="287"/>
      <c r="BQ249" s="287"/>
      <c r="BR249" s="287"/>
      <c r="BS249" s="287"/>
      <c r="BT249" s="287"/>
      <c r="BU249" s="287">
        <v>13</v>
      </c>
      <c r="BV249" s="287"/>
      <c r="BW249" s="287"/>
      <c r="BX249" s="286"/>
      <c r="BY249" s="289"/>
      <c r="BZ249" s="289">
        <v>0</v>
      </c>
      <c r="CA249" s="289"/>
      <c r="CB249" s="289"/>
      <c r="CC249" s="289"/>
      <c r="CD249" s="289"/>
      <c r="CE249" s="289"/>
      <c r="CF249" s="289"/>
      <c r="CG249" s="287"/>
      <c r="CH249" s="287"/>
      <c r="CI249" s="287"/>
      <c r="CJ249" s="287"/>
      <c r="CK249" s="287"/>
      <c r="CL249" s="292">
        <v>14</v>
      </c>
      <c r="CM249" s="292">
        <v>12</v>
      </c>
      <c r="CN249" s="292">
        <v>12</v>
      </c>
      <c r="CO249" s="292">
        <v>12</v>
      </c>
      <c r="CP249" s="287"/>
      <c r="CQ249" s="287">
        <v>13</v>
      </c>
      <c r="CR249" s="287"/>
      <c r="CS249" s="288">
        <v>13</v>
      </c>
      <c r="CT249" s="6"/>
      <c r="CU249" s="6"/>
      <c r="CV249" s="6"/>
      <c r="CW249" s="6"/>
      <c r="CX249" s="6"/>
      <c r="CY249" s="6"/>
      <c r="CZ249" s="6"/>
      <c r="DA249" s="343">
        <f t="shared" si="8"/>
        <v>8.8000000000000007</v>
      </c>
    </row>
    <row r="250" spans="1:105" ht="20" customHeight="1" x14ac:dyDescent="0.35">
      <c r="A250" s="290" t="s">
        <v>2116</v>
      </c>
      <c r="B250" s="270" t="s">
        <v>880</v>
      </c>
      <c r="C250" s="270" t="s">
        <v>251</v>
      </c>
      <c r="D250" s="297" t="s">
        <v>655</v>
      </c>
      <c r="E250" s="270" t="s">
        <v>214</v>
      </c>
      <c r="F250" s="270" t="s">
        <v>32</v>
      </c>
      <c r="G250" s="270" t="s">
        <v>39</v>
      </c>
      <c r="H250" s="349">
        <v>8.8000000000000007</v>
      </c>
      <c r="I250" s="292">
        <v>12</v>
      </c>
      <c r="J250" s="292"/>
      <c r="K250" s="286"/>
      <c r="L250" s="286"/>
      <c r="M250" s="286"/>
      <c r="N250" s="292"/>
      <c r="O250" s="286"/>
      <c r="P250" s="292"/>
      <c r="Q250" s="286"/>
      <c r="R250" s="286"/>
      <c r="S250" s="286"/>
      <c r="T250" s="286"/>
      <c r="U250" s="286"/>
      <c r="V250" s="294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95"/>
      <c r="AL250" s="288"/>
      <c r="AM250" s="287"/>
      <c r="AN250" s="287"/>
      <c r="AO250" s="287"/>
      <c r="AP250" s="286"/>
      <c r="AQ250" s="29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286"/>
      <c r="BB250" s="286"/>
      <c r="BC250" s="286"/>
      <c r="BD250" s="287"/>
      <c r="BE250" s="287"/>
      <c r="BF250" s="287"/>
      <c r="BG250" s="288"/>
      <c r="BH250" s="287"/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  <c r="BU250" s="287"/>
      <c r="BV250" s="287"/>
      <c r="BW250" s="287"/>
      <c r="BX250" s="286"/>
      <c r="BY250" s="289"/>
      <c r="BZ250" s="289"/>
      <c r="CA250" s="289"/>
      <c r="CB250" s="289"/>
      <c r="CC250" s="289"/>
      <c r="CD250" s="289"/>
      <c r="CE250" s="289"/>
      <c r="CF250" s="289"/>
      <c r="CG250" s="287"/>
      <c r="CH250" s="287"/>
      <c r="CI250" s="287"/>
      <c r="CJ250" s="287"/>
      <c r="CK250" s="287"/>
      <c r="CL250" s="292"/>
      <c r="CM250" s="292"/>
      <c r="CN250" s="292"/>
      <c r="CO250" s="292"/>
      <c r="CP250" s="287"/>
      <c r="CQ250" s="287">
        <v>13</v>
      </c>
      <c r="CR250" s="287"/>
      <c r="CS250" s="288">
        <v>13</v>
      </c>
      <c r="CT250" s="6"/>
      <c r="CU250" s="6"/>
      <c r="CV250" s="6"/>
      <c r="CW250" s="6"/>
      <c r="CX250" s="6"/>
      <c r="CY250" s="6"/>
      <c r="CZ250" s="6"/>
      <c r="DA250" s="343">
        <f>H250</f>
        <v>8.8000000000000007</v>
      </c>
    </row>
    <row r="251" spans="1:105" ht="20" customHeight="1" x14ac:dyDescent="0.35">
      <c r="A251" s="290"/>
      <c r="B251" s="270" t="s">
        <v>881</v>
      </c>
      <c r="C251" s="270" t="s">
        <v>251</v>
      </c>
      <c r="D251" s="270"/>
      <c r="E251" s="270" t="s">
        <v>413</v>
      </c>
      <c r="F251" s="270" t="s">
        <v>882</v>
      </c>
      <c r="G251" s="270" t="s">
        <v>33</v>
      </c>
      <c r="H251" s="349">
        <f>H252*10</f>
        <v>97</v>
      </c>
      <c r="I251" s="292"/>
      <c r="J251" s="286"/>
      <c r="K251" s="286"/>
      <c r="L251" s="286"/>
      <c r="M251" s="286"/>
      <c r="N251" s="286"/>
      <c r="O251" s="286"/>
      <c r="P251" s="286"/>
      <c r="Q251" s="286"/>
      <c r="R251" s="286">
        <v>120</v>
      </c>
      <c r="S251" s="286"/>
      <c r="T251" s="286"/>
      <c r="U251" s="286"/>
      <c r="V251" s="294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7"/>
      <c r="AL251" s="288"/>
      <c r="AM251" s="287"/>
      <c r="AN251" s="287"/>
      <c r="AO251" s="287"/>
      <c r="AP251" s="286"/>
      <c r="AQ251" s="29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  <c r="BC251" s="286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6"/>
      <c r="BY251" s="289"/>
      <c r="BZ251" s="289"/>
      <c r="CA251" s="289"/>
      <c r="CB251" s="289"/>
      <c r="CC251" s="289"/>
      <c r="CD251" s="289"/>
      <c r="CE251" s="289"/>
      <c r="CF251" s="289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6"/>
      <c r="CT251" s="6"/>
      <c r="CU251" s="6"/>
      <c r="CV251" s="6"/>
      <c r="CW251" s="6"/>
      <c r="CX251" s="6"/>
      <c r="CY251" s="6"/>
      <c r="CZ251" s="6"/>
      <c r="DA251" s="343">
        <f t="shared" si="8"/>
        <v>97</v>
      </c>
    </row>
    <row r="252" spans="1:105" ht="20" customHeight="1" x14ac:dyDescent="0.35">
      <c r="A252" s="290"/>
      <c r="B252" s="270" t="s">
        <v>883</v>
      </c>
      <c r="C252" s="270" t="s">
        <v>251</v>
      </c>
      <c r="D252" s="270" t="s">
        <v>653</v>
      </c>
      <c r="E252" s="270" t="s">
        <v>413</v>
      </c>
      <c r="F252" s="270" t="s">
        <v>32</v>
      </c>
      <c r="G252" s="270" t="s">
        <v>39</v>
      </c>
      <c r="H252" s="349">
        <v>9.6999999999999993</v>
      </c>
      <c r="I252" s="286">
        <v>14</v>
      </c>
      <c r="J252" s="292">
        <v>12</v>
      </c>
      <c r="K252" s="286"/>
      <c r="L252" s="286">
        <v>14</v>
      </c>
      <c r="M252" s="286"/>
      <c r="N252" s="286"/>
      <c r="O252" s="286"/>
      <c r="P252" s="286"/>
      <c r="Q252" s="286"/>
      <c r="R252" s="286"/>
      <c r="S252" s="286"/>
      <c r="T252" s="286"/>
      <c r="U252" s="286"/>
      <c r="V252" s="294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95">
        <v>14</v>
      </c>
      <c r="AL252" s="288">
        <v>12</v>
      </c>
      <c r="AM252" s="287"/>
      <c r="AN252" s="287"/>
      <c r="AO252" s="286">
        <v>12</v>
      </c>
      <c r="AP252" s="286"/>
      <c r="AQ252" s="296">
        <v>15</v>
      </c>
      <c r="AR252" s="286"/>
      <c r="AS252" s="286"/>
      <c r="AT252" s="286">
        <v>12</v>
      </c>
      <c r="AU252" s="286">
        <v>12</v>
      </c>
      <c r="AV252" s="286">
        <v>12</v>
      </c>
      <c r="AW252" s="286">
        <v>12</v>
      </c>
      <c r="AX252" s="286">
        <v>12</v>
      </c>
      <c r="AY252" s="286"/>
      <c r="AZ252" s="286">
        <v>12</v>
      </c>
      <c r="BA252" s="286">
        <v>12</v>
      </c>
      <c r="BB252" s="286"/>
      <c r="BC252" s="286">
        <v>12</v>
      </c>
      <c r="BD252" s="287"/>
      <c r="BE252" s="287"/>
      <c r="BF252" s="287"/>
      <c r="BG252" s="288">
        <v>14</v>
      </c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6">
        <f>J252</f>
        <v>12</v>
      </c>
      <c r="BY252" s="289"/>
      <c r="BZ252" s="289">
        <v>13.5</v>
      </c>
      <c r="CA252" s="289"/>
      <c r="CB252" s="289"/>
      <c r="CC252" s="289"/>
      <c r="CD252" s="289"/>
      <c r="CE252" s="289"/>
      <c r="CF252" s="289"/>
      <c r="CG252" s="287"/>
      <c r="CH252" s="287"/>
      <c r="CI252" s="287"/>
      <c r="CJ252" s="287"/>
      <c r="CK252" s="287"/>
      <c r="CL252" s="289">
        <v>13.5</v>
      </c>
      <c r="CM252" s="287"/>
      <c r="CN252" s="287"/>
      <c r="CO252" s="287"/>
      <c r="CP252" s="287"/>
      <c r="CQ252" s="287">
        <v>14</v>
      </c>
      <c r="CR252" s="287">
        <v>15</v>
      </c>
      <c r="CS252" s="288">
        <f>I252</f>
        <v>14</v>
      </c>
      <c r="CT252" s="6"/>
      <c r="CU252" s="6"/>
      <c r="CV252" s="6"/>
      <c r="CW252" s="6"/>
      <c r="CX252" s="6"/>
      <c r="CY252" s="6"/>
      <c r="CZ252" s="6"/>
      <c r="DA252" s="343">
        <f t="shared" si="8"/>
        <v>9.6999999999999993</v>
      </c>
    </row>
    <row r="253" spans="1:105" ht="20" customHeight="1" x14ac:dyDescent="0.35">
      <c r="A253" s="290"/>
      <c r="B253" s="270" t="s">
        <v>884</v>
      </c>
      <c r="C253" s="270" t="s">
        <v>1644</v>
      </c>
      <c r="D253" s="297" t="s">
        <v>653</v>
      </c>
      <c r="E253" s="270" t="s">
        <v>417</v>
      </c>
      <c r="F253" s="270" t="s">
        <v>32</v>
      </c>
      <c r="G253" s="270" t="s">
        <v>39</v>
      </c>
      <c r="H253" s="349">
        <v>11</v>
      </c>
      <c r="I253" s="292"/>
      <c r="J253" s="292">
        <v>16</v>
      </c>
      <c r="K253" s="286"/>
      <c r="L253" s="286">
        <v>17</v>
      </c>
      <c r="M253" s="400"/>
      <c r="N253" s="292">
        <v>16</v>
      </c>
      <c r="O253" s="286">
        <v>17</v>
      </c>
      <c r="P253" s="292">
        <v>16</v>
      </c>
      <c r="Q253" s="286">
        <v>16</v>
      </c>
      <c r="R253" s="286">
        <v>16</v>
      </c>
      <c r="S253" s="286">
        <v>17</v>
      </c>
      <c r="T253" s="286">
        <v>16</v>
      </c>
      <c r="U253" s="286"/>
      <c r="V253" s="294"/>
      <c r="W253" s="286"/>
      <c r="X253" s="286"/>
      <c r="Y253" s="286"/>
      <c r="Z253" s="286"/>
      <c r="AA253" s="286"/>
      <c r="AB253" s="286">
        <v>16</v>
      </c>
      <c r="AC253" s="286"/>
      <c r="AD253" s="286"/>
      <c r="AE253" s="286"/>
      <c r="AF253" s="286"/>
      <c r="AG253" s="286"/>
      <c r="AH253" s="286"/>
      <c r="AI253" s="286"/>
      <c r="AJ253" s="286"/>
      <c r="AK253" s="287"/>
      <c r="AL253" s="288"/>
      <c r="AM253" s="287"/>
      <c r="AN253" s="287"/>
      <c r="AO253" s="287"/>
      <c r="AP253" s="286"/>
      <c r="AQ253" s="296"/>
      <c r="AR253" s="286"/>
      <c r="AS253" s="286"/>
      <c r="AT253" s="286"/>
      <c r="AU253" s="286">
        <v>16</v>
      </c>
      <c r="AV253" s="286"/>
      <c r="AW253" s="286"/>
      <c r="AX253" s="286"/>
      <c r="AY253" s="286"/>
      <c r="AZ253" s="286"/>
      <c r="BA253" s="286"/>
      <c r="BB253" s="286"/>
      <c r="BC253" s="286"/>
      <c r="BD253" s="287"/>
      <c r="BE253" s="287"/>
      <c r="BF253" s="287"/>
      <c r="BG253" s="288">
        <v>17</v>
      </c>
      <c r="BH253" s="287"/>
      <c r="BI253" s="287"/>
      <c r="BJ253" s="287"/>
      <c r="BK253" s="299">
        <v>18</v>
      </c>
      <c r="BL253" s="287"/>
      <c r="BM253" s="287"/>
      <c r="BN253" s="287"/>
      <c r="BO253" s="287"/>
      <c r="BP253" s="287"/>
      <c r="BQ253" s="287"/>
      <c r="BR253" s="287"/>
      <c r="BS253" s="287"/>
      <c r="BT253" s="287"/>
      <c r="BU253" s="287">
        <v>16</v>
      </c>
      <c r="BV253" s="287"/>
      <c r="BW253" s="287"/>
      <c r="BX253" s="286">
        <f>J253</f>
        <v>16</v>
      </c>
      <c r="BY253" s="289"/>
      <c r="BZ253" s="289"/>
      <c r="CA253" s="289"/>
      <c r="CB253" s="289"/>
      <c r="CC253" s="289"/>
      <c r="CD253" s="289"/>
      <c r="CE253" s="289"/>
      <c r="CF253" s="289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6"/>
      <c r="CT253" s="6"/>
      <c r="CU253" s="6"/>
      <c r="CV253" s="6"/>
      <c r="CW253" s="6"/>
      <c r="CX253" s="6"/>
      <c r="CY253" s="6"/>
      <c r="CZ253" s="6"/>
      <c r="DA253" s="343">
        <f t="shared" si="8"/>
        <v>11</v>
      </c>
    </row>
    <row r="254" spans="1:105" ht="20" customHeight="1" x14ac:dyDescent="0.35">
      <c r="A254" s="290"/>
      <c r="B254" s="270" t="s">
        <v>885</v>
      </c>
      <c r="C254" s="270" t="s">
        <v>1737</v>
      </c>
      <c r="D254" s="270" t="s">
        <v>1735</v>
      </c>
      <c r="E254" s="270" t="s">
        <v>34</v>
      </c>
      <c r="F254" s="270" t="s">
        <v>1736</v>
      </c>
      <c r="G254" s="270" t="s">
        <v>1672</v>
      </c>
      <c r="H254" s="349">
        <v>17.8</v>
      </c>
      <c r="I254" s="286"/>
      <c r="J254" s="292">
        <v>25</v>
      </c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94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7"/>
      <c r="AL254" s="288"/>
      <c r="AM254" s="287"/>
      <c r="AN254" s="287"/>
      <c r="AO254" s="287"/>
      <c r="AP254" s="286"/>
      <c r="AQ254" s="296"/>
      <c r="AR254" s="286"/>
      <c r="AS254" s="286"/>
      <c r="AT254" s="286"/>
      <c r="AU254" s="286"/>
      <c r="AV254" s="286"/>
      <c r="AW254" s="286"/>
      <c r="AX254" s="286"/>
      <c r="AY254" s="286"/>
      <c r="AZ254" s="286"/>
      <c r="BA254" s="286"/>
      <c r="BB254" s="286"/>
      <c r="BC254" s="286"/>
      <c r="BD254" s="287"/>
      <c r="BE254" s="287"/>
      <c r="BF254" s="287"/>
      <c r="BG254" s="287"/>
      <c r="BH254" s="287"/>
      <c r="BI254" s="287"/>
      <c r="BJ254" s="287"/>
      <c r="BK254" s="287"/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/>
      <c r="BV254" s="287"/>
      <c r="BW254" s="287"/>
      <c r="BX254" s="286"/>
      <c r="BY254" s="289"/>
      <c r="BZ254" s="289"/>
      <c r="CA254" s="289"/>
      <c r="CB254" s="289"/>
      <c r="CC254" s="289"/>
      <c r="CD254" s="289"/>
      <c r="CE254" s="289"/>
      <c r="CF254" s="289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  <c r="CR254" s="287"/>
      <c r="CS254" s="6"/>
      <c r="CT254" s="6"/>
      <c r="CU254" s="6"/>
      <c r="CV254" s="6"/>
      <c r="CW254" s="6"/>
      <c r="CX254" s="6"/>
      <c r="CY254" s="6"/>
      <c r="CZ254" s="6"/>
      <c r="DA254" s="343">
        <f t="shared" si="8"/>
        <v>17.8</v>
      </c>
    </row>
    <row r="255" spans="1:105" ht="20" customHeight="1" x14ac:dyDescent="0.35">
      <c r="A255" s="290">
        <v>520786</v>
      </c>
      <c r="B255" s="270" t="s">
        <v>886</v>
      </c>
      <c r="C255" s="270" t="s">
        <v>551</v>
      </c>
      <c r="D255" s="270" t="s">
        <v>653</v>
      </c>
      <c r="E255" s="270" t="s">
        <v>417</v>
      </c>
      <c r="F255" s="270" t="s">
        <v>32</v>
      </c>
      <c r="G255" s="270" t="s">
        <v>39</v>
      </c>
      <c r="H255" s="298">
        <v>11</v>
      </c>
      <c r="I255" s="286">
        <v>16</v>
      </c>
      <c r="J255" s="292">
        <v>16</v>
      </c>
      <c r="K255" s="286"/>
      <c r="L255" s="286">
        <v>17</v>
      </c>
      <c r="M255" s="400"/>
      <c r="N255" s="286"/>
      <c r="O255" s="286"/>
      <c r="P255" s="286"/>
      <c r="Q255" s="286"/>
      <c r="R255" s="286">
        <v>17</v>
      </c>
      <c r="S255" s="286"/>
      <c r="T255" s="286">
        <v>16</v>
      </c>
      <c r="U255" s="286"/>
      <c r="V255" s="294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>
        <v>16</v>
      </c>
      <c r="AJ255" s="286"/>
      <c r="AK255" s="295">
        <v>17</v>
      </c>
      <c r="AL255" s="288">
        <v>16</v>
      </c>
      <c r="AM255" s="287"/>
      <c r="AN255" s="287"/>
      <c r="AO255" s="287">
        <v>16</v>
      </c>
      <c r="AP255" s="286">
        <v>16</v>
      </c>
      <c r="AQ255" s="296">
        <v>17</v>
      </c>
      <c r="AR255" s="286">
        <v>16</v>
      </c>
      <c r="AS255" s="286"/>
      <c r="AT255" s="286">
        <v>16</v>
      </c>
      <c r="AU255" s="286">
        <v>16</v>
      </c>
      <c r="AV255" s="286">
        <v>16</v>
      </c>
      <c r="AW255" s="286">
        <v>16</v>
      </c>
      <c r="AX255" s="286">
        <v>16</v>
      </c>
      <c r="AY255" s="286">
        <v>16</v>
      </c>
      <c r="AZ255" s="286">
        <v>16</v>
      </c>
      <c r="BA255" s="286">
        <v>16</v>
      </c>
      <c r="BB255" s="286">
        <f>BA255</f>
        <v>16</v>
      </c>
      <c r="BC255" s="286">
        <v>16</v>
      </c>
      <c r="BD255" s="287"/>
      <c r="BE255" s="287"/>
      <c r="BF255" s="287"/>
      <c r="BG255" s="288">
        <v>16</v>
      </c>
      <c r="BH255" s="286">
        <v>16</v>
      </c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6">
        <v>16</v>
      </c>
      <c r="BY255" s="289"/>
      <c r="BZ255" s="289">
        <v>17</v>
      </c>
      <c r="CA255" s="289"/>
      <c r="CB255" s="289"/>
      <c r="CC255" s="289"/>
      <c r="CD255" s="289"/>
      <c r="CE255" s="289"/>
      <c r="CF255" s="289"/>
      <c r="CG255" s="287"/>
      <c r="CH255" s="287"/>
      <c r="CI255" s="287"/>
      <c r="CJ255" s="287"/>
      <c r="CK255" s="287"/>
      <c r="CL255" s="287">
        <v>17</v>
      </c>
      <c r="CM255" s="292">
        <v>16</v>
      </c>
      <c r="CN255" s="292">
        <v>16</v>
      </c>
      <c r="CO255" s="292">
        <v>16</v>
      </c>
      <c r="CP255" s="287"/>
      <c r="CQ255" s="287">
        <v>16</v>
      </c>
      <c r="CR255" s="287">
        <v>18</v>
      </c>
      <c r="CS255" s="288">
        <f>I255</f>
        <v>16</v>
      </c>
      <c r="CT255" s="6"/>
      <c r="CU255" s="6"/>
      <c r="CV255" s="6"/>
      <c r="CW255" s="6"/>
      <c r="CX255" s="6"/>
      <c r="CY255" s="6"/>
      <c r="CZ255" s="6"/>
      <c r="DA255" s="343">
        <f t="shared" si="8"/>
        <v>11</v>
      </c>
    </row>
    <row r="256" spans="1:105" ht="20" customHeight="1" x14ac:dyDescent="0.35">
      <c r="A256" s="290" t="s">
        <v>2093</v>
      </c>
      <c r="B256" s="270" t="s">
        <v>886</v>
      </c>
      <c r="C256" s="270" t="s">
        <v>551</v>
      </c>
      <c r="D256" s="270" t="s">
        <v>653</v>
      </c>
      <c r="E256" s="270" t="s">
        <v>417</v>
      </c>
      <c r="F256" s="270" t="s">
        <v>32</v>
      </c>
      <c r="G256" s="270" t="s">
        <v>39</v>
      </c>
      <c r="H256" s="298">
        <v>11</v>
      </c>
      <c r="I256" s="286"/>
      <c r="J256" s="292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94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95"/>
      <c r="AL256" s="288"/>
      <c r="AM256" s="287"/>
      <c r="AN256" s="287"/>
      <c r="AO256" s="287"/>
      <c r="AP256" s="286"/>
      <c r="AQ256" s="29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286"/>
      <c r="BB256" s="286"/>
      <c r="BC256" s="286"/>
      <c r="BD256" s="287"/>
      <c r="BE256" s="287"/>
      <c r="BF256" s="287"/>
      <c r="BG256" s="288"/>
      <c r="BH256" s="286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  <c r="BU256" s="287"/>
      <c r="BV256" s="287"/>
      <c r="BW256" s="287"/>
      <c r="BX256" s="286"/>
      <c r="BY256" s="289"/>
      <c r="BZ256" s="289"/>
      <c r="CA256" s="289"/>
      <c r="CB256" s="289"/>
      <c r="CC256" s="289"/>
      <c r="CD256" s="289"/>
      <c r="CE256" s="289"/>
      <c r="CF256" s="289"/>
      <c r="CG256" s="287"/>
      <c r="CH256" s="287"/>
      <c r="CI256" s="287"/>
      <c r="CJ256" s="287"/>
      <c r="CK256" s="287"/>
      <c r="CL256" s="287"/>
      <c r="CM256" s="292"/>
      <c r="CN256" s="287"/>
      <c r="CO256" s="292"/>
      <c r="CP256" s="287"/>
      <c r="CQ256" s="287">
        <v>16</v>
      </c>
      <c r="CR256" s="287"/>
      <c r="CS256" s="288">
        <f>I256</f>
        <v>0</v>
      </c>
      <c r="CT256" s="6"/>
      <c r="CU256" s="6"/>
      <c r="CV256" s="6"/>
      <c r="CW256" s="6"/>
      <c r="CX256" s="6"/>
      <c r="CY256" s="6"/>
      <c r="CZ256" s="6"/>
      <c r="DA256" s="343">
        <f>H256</f>
        <v>11</v>
      </c>
    </row>
    <row r="257" spans="1:105" ht="20" customHeight="1" x14ac:dyDescent="0.35">
      <c r="A257" s="290" t="s">
        <v>74</v>
      </c>
      <c r="B257" s="270" t="s">
        <v>887</v>
      </c>
      <c r="C257" s="270" t="s">
        <v>332</v>
      </c>
      <c r="D257" s="297" t="s">
        <v>653</v>
      </c>
      <c r="E257" s="270" t="s">
        <v>413</v>
      </c>
      <c r="F257" s="270" t="s">
        <v>32</v>
      </c>
      <c r="G257" s="270" t="s">
        <v>39</v>
      </c>
      <c r="H257" s="298">
        <v>20</v>
      </c>
      <c r="I257" s="292">
        <v>25</v>
      </c>
      <c r="J257" s="292">
        <v>25</v>
      </c>
      <c r="K257" s="286"/>
      <c r="L257" s="286"/>
      <c r="M257" s="286"/>
      <c r="N257" s="286"/>
      <c r="O257" s="286"/>
      <c r="P257" s="292">
        <v>25</v>
      </c>
      <c r="Q257" s="286">
        <v>28</v>
      </c>
      <c r="R257" s="286">
        <v>24</v>
      </c>
      <c r="S257" s="286"/>
      <c r="T257" s="286">
        <v>25</v>
      </c>
      <c r="U257" s="286"/>
      <c r="V257" s="294"/>
      <c r="W257" s="286"/>
      <c r="X257" s="286"/>
      <c r="Y257" s="286"/>
      <c r="Z257" s="286"/>
      <c r="AA257" s="286"/>
      <c r="AB257" s="286"/>
      <c r="AC257" s="286">
        <v>25</v>
      </c>
      <c r="AD257" s="286"/>
      <c r="AE257" s="286"/>
      <c r="AF257" s="286"/>
      <c r="AG257" s="286"/>
      <c r="AH257" s="286"/>
      <c r="AI257" s="286"/>
      <c r="AJ257" s="286"/>
      <c r="AK257" s="295">
        <v>28</v>
      </c>
      <c r="AL257" s="288"/>
      <c r="AM257" s="287"/>
      <c r="AN257" s="287"/>
      <c r="AO257" s="287"/>
      <c r="AP257" s="286">
        <v>25</v>
      </c>
      <c r="AQ257" s="296">
        <v>26</v>
      </c>
      <c r="AR257" s="286">
        <v>25</v>
      </c>
      <c r="AS257" s="286"/>
      <c r="AT257" s="286">
        <v>25</v>
      </c>
      <c r="AU257" s="286">
        <v>25</v>
      </c>
      <c r="AV257" s="286">
        <v>25</v>
      </c>
      <c r="AW257" s="286">
        <v>25</v>
      </c>
      <c r="AX257" s="286">
        <v>25</v>
      </c>
      <c r="AY257" s="286">
        <v>25</v>
      </c>
      <c r="AZ257" s="286">
        <v>25</v>
      </c>
      <c r="BA257" s="286">
        <v>25</v>
      </c>
      <c r="BB257" s="286">
        <f>BA257</f>
        <v>25</v>
      </c>
      <c r="BC257" s="286">
        <v>25</v>
      </c>
      <c r="BD257" s="287"/>
      <c r="BE257" s="287"/>
      <c r="BF257" s="287"/>
      <c r="BG257" s="288">
        <v>28</v>
      </c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6"/>
      <c r="BY257" s="289"/>
      <c r="BZ257" s="289">
        <v>24</v>
      </c>
      <c r="CA257" s="289"/>
      <c r="CB257" s="289"/>
      <c r="CC257" s="289"/>
      <c r="CD257" s="289"/>
      <c r="CE257" s="289"/>
      <c r="CF257" s="289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>
        <v>26</v>
      </c>
      <c r="CR257" s="287">
        <v>28</v>
      </c>
      <c r="CS257" s="288">
        <f>I257</f>
        <v>25</v>
      </c>
      <c r="CT257" s="6"/>
      <c r="CU257" s="6"/>
      <c r="CV257" s="6"/>
      <c r="CW257" s="6"/>
      <c r="CX257" s="6"/>
      <c r="CY257" s="6"/>
      <c r="CZ257" s="6"/>
      <c r="DA257" s="343">
        <f t="shared" si="8"/>
        <v>20</v>
      </c>
    </row>
    <row r="258" spans="1:105" ht="20" customHeight="1" x14ac:dyDescent="0.35">
      <c r="A258" s="314"/>
      <c r="B258" s="270"/>
      <c r="C258" s="270"/>
      <c r="D258" s="270"/>
      <c r="E258" s="270"/>
      <c r="F258" s="270"/>
      <c r="G258" s="270"/>
      <c r="H258" s="298">
        <f>H257/1000*100</f>
        <v>2</v>
      </c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94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7"/>
      <c r="AL258" s="288"/>
      <c r="AM258" s="287"/>
      <c r="AN258" s="287"/>
      <c r="AO258" s="287"/>
      <c r="AP258" s="286"/>
      <c r="AQ258" s="296"/>
      <c r="AR258" s="286"/>
      <c r="AS258" s="286"/>
      <c r="AT258" s="286"/>
      <c r="AU258" s="286"/>
      <c r="AV258" s="286"/>
      <c r="AW258" s="286"/>
      <c r="AX258" s="286"/>
      <c r="AY258" s="286"/>
      <c r="AZ258" s="286"/>
      <c r="BA258" s="286"/>
      <c r="BB258" s="286"/>
      <c r="BC258" s="286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6"/>
      <c r="BY258" s="289"/>
      <c r="BZ258" s="289"/>
      <c r="CA258" s="289"/>
      <c r="CB258" s="289"/>
      <c r="CC258" s="289"/>
      <c r="CD258" s="289"/>
      <c r="CE258" s="289"/>
      <c r="CF258" s="289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6"/>
      <c r="CT258" s="6"/>
      <c r="CU258" s="6"/>
      <c r="CV258" s="6"/>
      <c r="CW258" s="6"/>
      <c r="CX258" s="6"/>
      <c r="CY258" s="6"/>
      <c r="CZ258" s="6"/>
      <c r="DA258" s="343">
        <f t="shared" si="8"/>
        <v>2</v>
      </c>
    </row>
    <row r="259" spans="1:105" ht="20" customHeight="1" x14ac:dyDescent="0.35">
      <c r="A259" s="290" t="s">
        <v>100</v>
      </c>
      <c r="B259" s="270" t="s">
        <v>888</v>
      </c>
      <c r="C259" s="270" t="s">
        <v>1649</v>
      </c>
      <c r="D259" s="297" t="s">
        <v>653</v>
      </c>
      <c r="E259" s="270" t="s">
        <v>34</v>
      </c>
      <c r="F259" s="270" t="s">
        <v>32</v>
      </c>
      <c r="G259" s="270" t="s">
        <v>39</v>
      </c>
      <c r="H259" s="298">
        <v>4.3</v>
      </c>
      <c r="I259" s="300">
        <v>5</v>
      </c>
      <c r="J259" s="292">
        <v>5</v>
      </c>
      <c r="K259" s="286"/>
      <c r="L259" s="286"/>
      <c r="M259" s="286"/>
      <c r="N259" s="286"/>
      <c r="O259" s="286"/>
      <c r="P259" s="292">
        <v>5.3</v>
      </c>
      <c r="Q259" s="286">
        <v>5.5</v>
      </c>
      <c r="R259" s="286"/>
      <c r="S259" s="286">
        <v>6</v>
      </c>
      <c r="T259" s="286">
        <v>5</v>
      </c>
      <c r="U259" s="286"/>
      <c r="V259" s="294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>
        <v>5</v>
      </c>
      <c r="AJ259" s="286"/>
      <c r="AK259" s="295">
        <v>5</v>
      </c>
      <c r="AL259" s="288"/>
      <c r="AM259" s="287">
        <v>5.2</v>
      </c>
      <c r="AN259" s="287"/>
      <c r="AO259" s="286">
        <v>5</v>
      </c>
      <c r="AP259" s="286">
        <v>5</v>
      </c>
      <c r="AQ259" s="296">
        <v>5</v>
      </c>
      <c r="AR259" s="286">
        <v>5</v>
      </c>
      <c r="AS259" s="286"/>
      <c r="AT259" s="286">
        <v>5</v>
      </c>
      <c r="AU259" s="286">
        <v>5</v>
      </c>
      <c r="AV259" s="286">
        <v>5</v>
      </c>
      <c r="AW259" s="286">
        <v>5</v>
      </c>
      <c r="AX259" s="286">
        <v>5</v>
      </c>
      <c r="AY259" s="286">
        <v>5</v>
      </c>
      <c r="AZ259" s="286">
        <v>5</v>
      </c>
      <c r="BA259" s="286">
        <v>5</v>
      </c>
      <c r="BB259" s="286">
        <f>BA259</f>
        <v>5</v>
      </c>
      <c r="BC259" s="286">
        <v>5</v>
      </c>
      <c r="BD259" s="287"/>
      <c r="BE259" s="287"/>
      <c r="BF259" s="287"/>
      <c r="BG259" s="288">
        <v>5</v>
      </c>
      <c r="BH259" s="286">
        <v>5</v>
      </c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  <c r="BU259" s="287">
        <v>5.5</v>
      </c>
      <c r="BV259" s="287"/>
      <c r="BW259" s="287"/>
      <c r="BX259" s="286">
        <f>J259</f>
        <v>5</v>
      </c>
      <c r="BY259" s="289"/>
      <c r="BZ259" s="289">
        <v>0</v>
      </c>
      <c r="CA259" s="289"/>
      <c r="CB259" s="289"/>
      <c r="CC259" s="289"/>
      <c r="CD259" s="289"/>
      <c r="CE259" s="289"/>
      <c r="CF259" s="289"/>
      <c r="CG259" s="287"/>
      <c r="CH259" s="287"/>
      <c r="CI259" s="287"/>
      <c r="CJ259" s="287"/>
      <c r="CK259" s="287"/>
      <c r="CL259" s="287"/>
      <c r="CM259" s="292">
        <v>5</v>
      </c>
      <c r="CN259" s="287"/>
      <c r="CO259" s="287"/>
      <c r="CP259" s="287"/>
      <c r="CQ259" s="287">
        <v>5</v>
      </c>
      <c r="CR259" s="292">
        <v>5</v>
      </c>
      <c r="CS259" s="315">
        <v>5</v>
      </c>
      <c r="CT259" s="6"/>
      <c r="CU259" s="6"/>
      <c r="CV259" s="6"/>
      <c r="CW259" s="6"/>
      <c r="CX259" s="6"/>
      <c r="CY259" s="6"/>
      <c r="CZ259" s="6"/>
      <c r="DA259" s="343">
        <f t="shared" si="8"/>
        <v>4.3</v>
      </c>
    </row>
    <row r="260" spans="1:105" ht="20" customHeight="1" x14ac:dyDescent="0.35">
      <c r="A260" s="290" t="s">
        <v>2127</v>
      </c>
      <c r="B260" s="270" t="s">
        <v>888</v>
      </c>
      <c r="C260" s="270" t="s">
        <v>1649</v>
      </c>
      <c r="D260" s="297" t="s">
        <v>653</v>
      </c>
      <c r="E260" s="270" t="s">
        <v>34</v>
      </c>
      <c r="F260" s="270" t="s">
        <v>32</v>
      </c>
      <c r="G260" s="270" t="s">
        <v>39</v>
      </c>
      <c r="H260" s="298">
        <v>4.3</v>
      </c>
      <c r="I260" s="300"/>
      <c r="J260" s="292"/>
      <c r="K260" s="286"/>
      <c r="L260" s="286"/>
      <c r="M260" s="286"/>
      <c r="N260" s="286"/>
      <c r="O260" s="286"/>
      <c r="P260" s="292"/>
      <c r="Q260" s="286"/>
      <c r="R260" s="286"/>
      <c r="S260" s="286"/>
      <c r="T260" s="286"/>
      <c r="U260" s="286"/>
      <c r="V260" s="294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95"/>
      <c r="AL260" s="288"/>
      <c r="AM260" s="287"/>
      <c r="AN260" s="287"/>
      <c r="AO260" s="286"/>
      <c r="AP260" s="286"/>
      <c r="AQ260" s="29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7"/>
      <c r="BE260" s="287"/>
      <c r="BF260" s="287"/>
      <c r="BG260" s="288"/>
      <c r="BH260" s="286"/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  <c r="BU260" s="287"/>
      <c r="BV260" s="287"/>
      <c r="BW260" s="287"/>
      <c r="BX260" s="286"/>
      <c r="BY260" s="289"/>
      <c r="BZ260" s="289"/>
      <c r="CA260" s="289"/>
      <c r="CB260" s="289"/>
      <c r="CC260" s="289"/>
      <c r="CD260" s="289"/>
      <c r="CE260" s="289"/>
      <c r="CF260" s="289"/>
      <c r="CG260" s="287"/>
      <c r="CH260" s="287"/>
      <c r="CI260" s="287"/>
      <c r="CJ260" s="287"/>
      <c r="CK260" s="287"/>
      <c r="CL260" s="287"/>
      <c r="CM260" s="292"/>
      <c r="CN260" s="287"/>
      <c r="CO260" s="287"/>
      <c r="CP260" s="287"/>
      <c r="CQ260" s="287">
        <v>5</v>
      </c>
      <c r="CR260" s="307"/>
      <c r="CS260" s="315">
        <v>5</v>
      </c>
      <c r="CT260" s="6"/>
      <c r="CU260" s="6"/>
      <c r="CV260" s="6"/>
      <c r="CW260" s="6"/>
      <c r="CX260" s="6"/>
      <c r="CY260" s="6"/>
      <c r="CZ260" s="6"/>
      <c r="DA260" s="343">
        <f>H260</f>
        <v>4.3</v>
      </c>
    </row>
    <row r="261" spans="1:105" ht="20" customHeight="1" x14ac:dyDescent="0.35">
      <c r="A261" s="278"/>
      <c r="B261" s="270" t="s">
        <v>889</v>
      </c>
      <c r="C261" s="270" t="s">
        <v>252</v>
      </c>
      <c r="D261" s="270" t="s">
        <v>653</v>
      </c>
      <c r="E261" s="270" t="s">
        <v>34</v>
      </c>
      <c r="F261" s="270" t="s">
        <v>634</v>
      </c>
      <c r="G261" s="270" t="s">
        <v>39</v>
      </c>
      <c r="H261" s="298">
        <f>3.8*2.5</f>
        <v>9.5</v>
      </c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94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7"/>
      <c r="AL261" s="288"/>
      <c r="AM261" s="287"/>
      <c r="AN261" s="287"/>
      <c r="AO261" s="286"/>
      <c r="AP261" s="286"/>
      <c r="AQ261" s="296">
        <v>12.5</v>
      </c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286"/>
      <c r="BB261" s="286"/>
      <c r="BC261" s="286"/>
      <c r="BD261" s="287"/>
      <c r="BE261" s="287"/>
      <c r="BF261" s="287"/>
      <c r="BG261" s="287"/>
      <c r="BH261" s="287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  <c r="BU261" s="287"/>
      <c r="BV261" s="287"/>
      <c r="BW261" s="287"/>
      <c r="BX261" s="286"/>
      <c r="BY261" s="289"/>
      <c r="BZ261" s="289">
        <v>12</v>
      </c>
      <c r="CA261" s="289"/>
      <c r="CB261" s="289"/>
      <c r="CC261" s="289"/>
      <c r="CD261" s="289"/>
      <c r="CE261" s="289"/>
      <c r="CF261" s="289"/>
      <c r="CG261" s="287"/>
      <c r="CH261" s="287"/>
      <c r="CI261" s="287"/>
      <c r="CJ261" s="287"/>
      <c r="CK261" s="287"/>
      <c r="CL261" s="287"/>
      <c r="CM261" s="287"/>
      <c r="CN261" s="287"/>
      <c r="CO261" s="287"/>
      <c r="CP261" s="287"/>
      <c r="CQ261" s="287"/>
      <c r="CR261" s="287"/>
      <c r="CS261" s="6"/>
      <c r="CT261" s="6"/>
      <c r="CU261" s="6"/>
      <c r="CV261" s="6"/>
      <c r="CW261" s="6"/>
      <c r="CX261" s="6"/>
      <c r="CY261" s="6"/>
      <c r="CZ261" s="6"/>
      <c r="DA261" s="343">
        <f t="shared" si="8"/>
        <v>9.5</v>
      </c>
    </row>
    <row r="262" spans="1:105" ht="20" customHeight="1" x14ac:dyDescent="0.35">
      <c r="A262" s="314"/>
      <c r="B262" s="270" t="s">
        <v>1242</v>
      </c>
      <c r="C262" s="270" t="s">
        <v>252</v>
      </c>
      <c r="D262" s="270"/>
      <c r="E262" s="270" t="s">
        <v>34</v>
      </c>
      <c r="F262" s="270" t="s">
        <v>1369</v>
      </c>
      <c r="G262" s="270" t="s">
        <v>39</v>
      </c>
      <c r="H262" s="298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94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7"/>
      <c r="AL262" s="288"/>
      <c r="AM262" s="287"/>
      <c r="AN262" s="287"/>
      <c r="AO262" s="286"/>
      <c r="AP262" s="286"/>
      <c r="AQ262" s="296"/>
      <c r="AR262" s="286"/>
      <c r="AS262" s="286"/>
      <c r="AT262" s="286"/>
      <c r="AU262" s="286"/>
      <c r="AV262" s="286"/>
      <c r="AW262" s="286"/>
      <c r="AX262" s="286"/>
      <c r="AY262" s="286"/>
      <c r="AZ262" s="286"/>
      <c r="BA262" s="286"/>
      <c r="BB262" s="286"/>
      <c r="BC262" s="286"/>
      <c r="BD262" s="287"/>
      <c r="BE262" s="287"/>
      <c r="BF262" s="287"/>
      <c r="BG262" s="287"/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  <c r="BU262" s="287"/>
      <c r="BV262" s="287"/>
      <c r="BW262" s="287"/>
      <c r="BX262" s="286"/>
      <c r="BY262" s="289"/>
      <c r="BZ262" s="289"/>
      <c r="CA262" s="289"/>
      <c r="CB262" s="289"/>
      <c r="CC262" s="289"/>
      <c r="CD262" s="289"/>
      <c r="CE262" s="289"/>
      <c r="CF262" s="289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/>
      <c r="CR262" s="287"/>
      <c r="CS262" s="6"/>
      <c r="CT262" s="6"/>
      <c r="CU262" s="6"/>
      <c r="CV262" s="6"/>
      <c r="CW262" s="6"/>
      <c r="CX262" s="6"/>
      <c r="CY262" s="6"/>
      <c r="CZ262" s="6"/>
      <c r="DA262" s="343">
        <f t="shared" si="8"/>
        <v>0</v>
      </c>
    </row>
    <row r="263" spans="1:105" ht="20" customHeight="1" x14ac:dyDescent="0.35">
      <c r="A263" s="290" t="s">
        <v>108</v>
      </c>
      <c r="B263" s="270" t="s">
        <v>890</v>
      </c>
      <c r="C263" s="270" t="s">
        <v>253</v>
      </c>
      <c r="D263" s="297" t="s">
        <v>653</v>
      </c>
      <c r="E263" s="270" t="s">
        <v>50</v>
      </c>
      <c r="F263" s="270" t="s">
        <v>1482</v>
      </c>
      <c r="G263" s="270" t="s">
        <v>701</v>
      </c>
      <c r="H263" s="351">
        <v>5.6</v>
      </c>
      <c r="I263" s="300">
        <v>9</v>
      </c>
      <c r="J263" s="292">
        <v>6.5</v>
      </c>
      <c r="K263" s="286"/>
      <c r="L263" s="286"/>
      <c r="M263" s="286"/>
      <c r="N263" s="286"/>
      <c r="O263" s="286"/>
      <c r="P263" s="286"/>
      <c r="Q263" s="286"/>
      <c r="R263" s="286"/>
      <c r="S263" s="286">
        <v>10</v>
      </c>
      <c r="T263" s="286">
        <v>6.5</v>
      </c>
      <c r="U263" s="286"/>
      <c r="V263" s="294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95">
        <v>9.5</v>
      </c>
      <c r="AL263" s="288"/>
      <c r="AM263" s="287"/>
      <c r="AN263" s="287"/>
      <c r="AO263" s="287"/>
      <c r="AP263" s="286">
        <v>6.5</v>
      </c>
      <c r="AQ263" s="296">
        <v>8</v>
      </c>
      <c r="AR263" s="286">
        <v>6.5</v>
      </c>
      <c r="AS263" s="286"/>
      <c r="AT263" s="286">
        <v>6.5</v>
      </c>
      <c r="AU263" s="286">
        <v>6.5</v>
      </c>
      <c r="AV263" s="286">
        <v>6.5</v>
      </c>
      <c r="AW263" s="286">
        <v>6.5</v>
      </c>
      <c r="AX263" s="286">
        <v>6.5</v>
      </c>
      <c r="AY263" s="286">
        <v>6.5</v>
      </c>
      <c r="AZ263" s="286">
        <v>6.5</v>
      </c>
      <c r="BA263" s="286">
        <v>6.5</v>
      </c>
      <c r="BB263" s="286">
        <f>BA263</f>
        <v>6.5</v>
      </c>
      <c r="BC263" s="286">
        <v>6.5</v>
      </c>
      <c r="BD263" s="287"/>
      <c r="BE263" s="287"/>
      <c r="BF263" s="287"/>
      <c r="BG263" s="288">
        <v>7.5</v>
      </c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6"/>
      <c r="BY263" s="289"/>
      <c r="BZ263" s="289"/>
      <c r="CA263" s="289"/>
      <c r="CB263" s="289"/>
      <c r="CC263" s="289"/>
      <c r="CD263" s="289"/>
      <c r="CE263" s="289"/>
      <c r="CF263" s="289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>
        <v>8</v>
      </c>
      <c r="CR263" s="307">
        <v>9</v>
      </c>
      <c r="CS263" s="308">
        <v>8</v>
      </c>
      <c r="CT263" s="6"/>
      <c r="CU263" s="6"/>
      <c r="CV263" s="6"/>
      <c r="CW263" s="6"/>
      <c r="CX263" s="6"/>
      <c r="CY263" s="6"/>
      <c r="CZ263" s="6"/>
      <c r="DA263" s="343">
        <f t="shared" si="8"/>
        <v>5.6</v>
      </c>
    </row>
    <row r="264" spans="1:105" ht="20" customHeight="1" x14ac:dyDescent="0.35">
      <c r="A264" s="309"/>
      <c r="B264" s="270" t="s">
        <v>891</v>
      </c>
      <c r="C264" s="270" t="s">
        <v>1645</v>
      </c>
      <c r="D264" s="270"/>
      <c r="E264" s="270" t="s">
        <v>34</v>
      </c>
      <c r="F264" s="270" t="s">
        <v>47</v>
      </c>
      <c r="G264" s="270" t="s">
        <v>39</v>
      </c>
      <c r="H264" s="298">
        <f>2.9*5</f>
        <v>14.5</v>
      </c>
      <c r="I264" s="286"/>
      <c r="J264" s="286"/>
      <c r="K264" s="286"/>
      <c r="L264" s="286">
        <v>19</v>
      </c>
      <c r="M264" s="400"/>
      <c r="N264" s="286"/>
      <c r="O264" s="286">
        <v>20</v>
      </c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>
        <v>19</v>
      </c>
      <c r="AD264" s="286"/>
      <c r="AE264" s="286"/>
      <c r="AF264" s="286"/>
      <c r="AG264" s="286"/>
      <c r="AH264" s="286"/>
      <c r="AI264" s="286"/>
      <c r="AJ264" s="286"/>
      <c r="AK264" s="287"/>
      <c r="AL264" s="288"/>
      <c r="AM264" s="287"/>
      <c r="AN264" s="287"/>
      <c r="AO264" s="287"/>
      <c r="AP264" s="286"/>
      <c r="AQ264" s="296"/>
      <c r="AR264" s="286"/>
      <c r="AS264" s="286"/>
      <c r="AT264" s="286"/>
      <c r="AU264" s="286"/>
      <c r="AV264" s="286"/>
      <c r="AW264" s="286"/>
      <c r="AX264" s="286"/>
      <c r="AY264" s="286"/>
      <c r="AZ264" s="286"/>
      <c r="BA264" s="286"/>
      <c r="BB264" s="286"/>
      <c r="BC264" s="286"/>
      <c r="BD264" s="287"/>
      <c r="BE264" s="287"/>
      <c r="BF264" s="287"/>
      <c r="BG264" s="288">
        <v>19</v>
      </c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/>
      <c r="BV264" s="287"/>
      <c r="BW264" s="287"/>
      <c r="BX264" s="286"/>
      <c r="BY264" s="289"/>
      <c r="BZ264" s="289"/>
      <c r="CA264" s="289"/>
      <c r="CB264" s="289"/>
      <c r="CC264" s="289"/>
      <c r="CD264" s="289"/>
      <c r="CE264" s="289"/>
      <c r="CF264" s="289"/>
      <c r="CG264" s="287"/>
      <c r="CH264" s="287"/>
      <c r="CI264" s="287"/>
      <c r="CJ264" s="287"/>
      <c r="CK264" s="287"/>
      <c r="CL264" s="287">
        <v>20</v>
      </c>
      <c r="CM264" s="287"/>
      <c r="CN264" s="287"/>
      <c r="CO264" s="287"/>
      <c r="CP264" s="287"/>
      <c r="CQ264" s="287"/>
      <c r="CR264" s="287">
        <v>20</v>
      </c>
      <c r="CS264" s="6"/>
      <c r="CT264" s="6"/>
      <c r="CU264" s="6"/>
      <c r="CV264" s="6"/>
      <c r="CW264" s="6"/>
      <c r="CX264" s="6"/>
      <c r="CY264" s="6"/>
      <c r="CZ264" s="6"/>
      <c r="DA264" s="343">
        <f t="shared" si="8"/>
        <v>14.5</v>
      </c>
    </row>
    <row r="265" spans="1:105" ht="20" customHeight="1" x14ac:dyDescent="0.35">
      <c r="A265" s="301"/>
      <c r="B265" s="270" t="s">
        <v>1070</v>
      </c>
      <c r="C265" s="270" t="s">
        <v>1645</v>
      </c>
      <c r="D265" s="270"/>
      <c r="E265" s="270" t="s">
        <v>34</v>
      </c>
      <c r="F265" s="270" t="s">
        <v>334</v>
      </c>
      <c r="G265" s="270" t="s">
        <v>39</v>
      </c>
      <c r="H265" s="298">
        <f>2.9*2</f>
        <v>5.8</v>
      </c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7"/>
      <c r="AL265" s="288"/>
      <c r="AM265" s="287"/>
      <c r="AN265" s="287"/>
      <c r="AO265" s="287"/>
      <c r="AP265" s="286"/>
      <c r="AQ265" s="29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286"/>
      <c r="BB265" s="286"/>
      <c r="BC265" s="286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6"/>
      <c r="BY265" s="289"/>
      <c r="BZ265" s="289"/>
      <c r="CA265" s="289"/>
      <c r="CB265" s="289"/>
      <c r="CC265" s="289"/>
      <c r="CD265" s="289"/>
      <c r="CE265" s="289"/>
      <c r="CF265" s="289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6"/>
      <c r="CT265" s="6"/>
      <c r="CU265" s="6"/>
      <c r="CV265" s="6"/>
      <c r="CW265" s="6"/>
      <c r="CX265" s="6"/>
      <c r="CY265" s="6"/>
      <c r="CZ265" s="6"/>
      <c r="DA265" s="343">
        <f t="shared" si="8"/>
        <v>5.8</v>
      </c>
    </row>
    <row r="266" spans="1:105" ht="20" customHeight="1" x14ac:dyDescent="0.35">
      <c r="A266" s="301"/>
      <c r="B266" s="270" t="s">
        <v>892</v>
      </c>
      <c r="C266" s="270" t="s">
        <v>893</v>
      </c>
      <c r="D266" s="270" t="s">
        <v>653</v>
      </c>
      <c r="E266" s="270" t="s">
        <v>34</v>
      </c>
      <c r="F266" s="270" t="s">
        <v>1817</v>
      </c>
      <c r="G266" s="270" t="s">
        <v>544</v>
      </c>
      <c r="H266" s="298">
        <v>16</v>
      </c>
      <c r="I266" s="286"/>
      <c r="J266" s="292">
        <v>20</v>
      </c>
      <c r="K266" s="286"/>
      <c r="L266" s="286"/>
      <c r="M266" s="286"/>
      <c r="N266" s="286"/>
      <c r="O266" s="286"/>
      <c r="P266" s="286"/>
      <c r="Q266" s="286"/>
      <c r="R266" s="286"/>
      <c r="S266" s="286"/>
      <c r="T266" s="292">
        <v>20</v>
      </c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7"/>
      <c r="AL266" s="288"/>
      <c r="AM266" s="287"/>
      <c r="AN266" s="287"/>
      <c r="AO266" s="287"/>
      <c r="AP266" s="286"/>
      <c r="AQ266" s="296"/>
      <c r="AR266" s="286"/>
      <c r="AS266" s="286"/>
      <c r="AT266" s="286"/>
      <c r="AU266" s="286"/>
      <c r="AV266" s="286"/>
      <c r="AW266" s="286"/>
      <c r="AX266" s="286"/>
      <c r="AY266" s="286"/>
      <c r="AZ266" s="286">
        <v>20</v>
      </c>
      <c r="BA266" s="286"/>
      <c r="BB266" s="286"/>
      <c r="BC266" s="286">
        <v>20</v>
      </c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6"/>
      <c r="BY266" s="289"/>
      <c r="BZ266" s="289"/>
      <c r="CA266" s="289"/>
      <c r="CB266" s="289"/>
      <c r="CC266" s="289"/>
      <c r="CD266" s="289"/>
      <c r="CE266" s="289"/>
      <c r="CF266" s="289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>
        <v>26</v>
      </c>
      <c r="CR266" s="292">
        <v>20</v>
      </c>
      <c r="CS266" s="6"/>
      <c r="CT266" s="6"/>
      <c r="CU266" s="6"/>
      <c r="CV266" s="6"/>
      <c r="CW266" s="6"/>
      <c r="CX266" s="6"/>
      <c r="CY266" s="6"/>
      <c r="CZ266" s="6"/>
      <c r="DA266" s="343">
        <f t="shared" si="8"/>
        <v>16</v>
      </c>
    </row>
    <row r="267" spans="1:105" ht="20" customHeight="1" x14ac:dyDescent="0.35">
      <c r="A267" s="301"/>
      <c r="B267" s="270" t="s">
        <v>1996</v>
      </c>
      <c r="C267" s="270" t="s">
        <v>893</v>
      </c>
      <c r="D267" s="270" t="s">
        <v>653</v>
      </c>
      <c r="E267" s="270" t="s">
        <v>34</v>
      </c>
      <c r="F267" s="270" t="s">
        <v>66</v>
      </c>
      <c r="G267" s="270" t="s">
        <v>544</v>
      </c>
      <c r="H267" s="298">
        <v>16</v>
      </c>
      <c r="I267" s="286"/>
      <c r="J267" s="292"/>
      <c r="K267" s="286"/>
      <c r="L267" s="286"/>
      <c r="M267" s="286"/>
      <c r="N267" s="286"/>
      <c r="O267" s="286"/>
      <c r="P267" s="286"/>
      <c r="Q267" s="286">
        <v>26</v>
      </c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7"/>
      <c r="AL267" s="288"/>
      <c r="AM267" s="287"/>
      <c r="AN267" s="287"/>
      <c r="AO267" s="287"/>
      <c r="AP267" s="286"/>
      <c r="AQ267" s="296">
        <v>22</v>
      </c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286"/>
      <c r="BB267" s="286"/>
      <c r="BC267" s="286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6"/>
      <c r="BY267" s="289"/>
      <c r="BZ267" s="289"/>
      <c r="CA267" s="289"/>
      <c r="CB267" s="289"/>
      <c r="CC267" s="289"/>
      <c r="CD267" s="289"/>
      <c r="CE267" s="289"/>
      <c r="CF267" s="289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6"/>
      <c r="CT267" s="6"/>
      <c r="CU267" s="6"/>
      <c r="CV267" s="6"/>
      <c r="CW267" s="6"/>
      <c r="CX267" s="6"/>
      <c r="CY267" s="6"/>
      <c r="CZ267" s="6"/>
      <c r="DA267" s="343">
        <f>H267</f>
        <v>16</v>
      </c>
    </row>
    <row r="268" spans="1:105" ht="20" customHeight="1" x14ac:dyDescent="0.35">
      <c r="A268" s="290">
        <v>520734</v>
      </c>
      <c r="B268" s="270" t="s">
        <v>894</v>
      </c>
      <c r="C268" s="270" t="s">
        <v>1743</v>
      </c>
      <c r="D268" s="297" t="s">
        <v>653</v>
      </c>
      <c r="E268" s="270" t="s">
        <v>34</v>
      </c>
      <c r="F268" s="270" t="s">
        <v>32</v>
      </c>
      <c r="G268" s="270" t="s">
        <v>39</v>
      </c>
      <c r="H268" s="298">
        <v>19.5</v>
      </c>
      <c r="I268" s="292">
        <v>45</v>
      </c>
      <c r="J268" s="286"/>
      <c r="K268" s="286"/>
      <c r="L268" s="286"/>
      <c r="M268" s="286"/>
      <c r="N268" s="286"/>
      <c r="O268" s="286">
        <v>50</v>
      </c>
      <c r="P268" s="286"/>
      <c r="Q268" s="286"/>
      <c r="R268" s="286">
        <v>46</v>
      </c>
      <c r="S268" s="286"/>
      <c r="T268" s="286"/>
      <c r="U268" s="286"/>
      <c r="V268" s="294"/>
      <c r="W268" s="286"/>
      <c r="X268" s="286"/>
      <c r="Y268" s="286"/>
      <c r="Z268" s="286"/>
      <c r="AA268" s="286"/>
      <c r="AB268" s="286"/>
      <c r="AC268" s="286">
        <v>46</v>
      </c>
      <c r="AD268" s="286"/>
      <c r="AE268" s="286"/>
      <c r="AF268" s="286"/>
      <c r="AG268" s="286"/>
      <c r="AH268" s="286"/>
      <c r="AI268" s="286"/>
      <c r="AJ268" s="286"/>
      <c r="AK268" s="295">
        <v>50</v>
      </c>
      <c r="AL268" s="288"/>
      <c r="AM268" s="287"/>
      <c r="AN268" s="287"/>
      <c r="AO268" s="287"/>
      <c r="AP268" s="286"/>
      <c r="AQ268" s="296"/>
      <c r="AR268" s="286"/>
      <c r="AS268" s="286"/>
      <c r="AT268" s="286"/>
      <c r="AU268" s="286"/>
      <c r="AV268" s="286"/>
      <c r="AW268" s="286"/>
      <c r="AX268" s="286"/>
      <c r="AY268" s="286"/>
      <c r="AZ268" s="286"/>
      <c r="BA268" s="286"/>
      <c r="BB268" s="286"/>
      <c r="BC268" s="286"/>
      <c r="BD268" s="287"/>
      <c r="BE268" s="287"/>
      <c r="BF268" s="287"/>
      <c r="BG268" s="288">
        <v>50</v>
      </c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6"/>
      <c r="BY268" s="289"/>
      <c r="BZ268" s="289">
        <v>50</v>
      </c>
      <c r="CA268" s="289"/>
      <c r="CB268" s="289"/>
      <c r="CC268" s="289"/>
      <c r="CD268" s="289"/>
      <c r="CE268" s="289"/>
      <c r="CF268" s="289"/>
      <c r="CG268" s="287"/>
      <c r="CH268" s="287"/>
      <c r="CI268" s="287"/>
      <c r="CJ268" s="287"/>
      <c r="CK268" s="287"/>
      <c r="CL268" s="287">
        <v>48</v>
      </c>
      <c r="CM268" s="287"/>
      <c r="CN268" s="287"/>
      <c r="CO268" s="287"/>
      <c r="CP268" s="287"/>
      <c r="CQ268" s="287">
        <v>45</v>
      </c>
      <c r="CR268" s="287">
        <v>48</v>
      </c>
      <c r="CS268" s="288">
        <f>I268</f>
        <v>45</v>
      </c>
      <c r="CT268" s="6"/>
      <c r="CU268" s="6"/>
      <c r="CV268" s="6"/>
      <c r="CW268" s="6"/>
      <c r="CX268" s="6"/>
      <c r="CY268" s="6"/>
      <c r="CZ268" s="6"/>
      <c r="DA268" s="343">
        <f t="shared" si="8"/>
        <v>19.5</v>
      </c>
    </row>
    <row r="269" spans="1:105" ht="20" customHeight="1" x14ac:dyDescent="0.35">
      <c r="A269" s="290" t="s">
        <v>2123</v>
      </c>
      <c r="B269" s="270" t="s">
        <v>894</v>
      </c>
      <c r="C269" s="270" t="s">
        <v>1743</v>
      </c>
      <c r="D269" s="297" t="s">
        <v>653</v>
      </c>
      <c r="E269" s="270" t="s">
        <v>34</v>
      </c>
      <c r="F269" s="270" t="s">
        <v>32</v>
      </c>
      <c r="G269" s="270" t="s">
        <v>39</v>
      </c>
      <c r="H269" s="298">
        <v>19.5</v>
      </c>
      <c r="I269" s="292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94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95"/>
      <c r="AL269" s="288"/>
      <c r="AM269" s="287"/>
      <c r="AN269" s="287"/>
      <c r="AO269" s="287"/>
      <c r="AP269" s="286"/>
      <c r="AQ269" s="29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286"/>
      <c r="BB269" s="286"/>
      <c r="BC269" s="286"/>
      <c r="BD269" s="287"/>
      <c r="BE269" s="287"/>
      <c r="BF269" s="287"/>
      <c r="BG269" s="288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6"/>
      <c r="BY269" s="289"/>
      <c r="BZ269" s="289"/>
      <c r="CA269" s="289"/>
      <c r="CB269" s="289"/>
      <c r="CC269" s="289"/>
      <c r="CD269" s="289"/>
      <c r="CE269" s="289"/>
      <c r="CF269" s="289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>
        <v>45</v>
      </c>
      <c r="CR269" s="287"/>
      <c r="CS269" s="288">
        <v>45</v>
      </c>
      <c r="CT269" s="6"/>
      <c r="CU269" s="6"/>
      <c r="CV269" s="6"/>
      <c r="CW269" s="6"/>
      <c r="CX269" s="6"/>
      <c r="CY269" s="6"/>
      <c r="CZ269" s="6"/>
      <c r="DA269" s="343">
        <f>H269</f>
        <v>19.5</v>
      </c>
    </row>
    <row r="270" spans="1:105" ht="20" customHeight="1" x14ac:dyDescent="0.35">
      <c r="A270" s="290"/>
      <c r="B270" s="270" t="s">
        <v>895</v>
      </c>
      <c r="C270" s="270" t="s">
        <v>258</v>
      </c>
      <c r="D270" s="270" t="s">
        <v>653</v>
      </c>
      <c r="E270" s="270" t="s">
        <v>215</v>
      </c>
      <c r="F270" s="270" t="s">
        <v>896</v>
      </c>
      <c r="G270" s="270" t="s">
        <v>33</v>
      </c>
      <c r="H270" s="298">
        <v>128</v>
      </c>
      <c r="I270" s="292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94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7"/>
      <c r="AL270" s="288"/>
      <c r="AM270" s="287"/>
      <c r="AN270" s="287"/>
      <c r="AO270" s="287"/>
      <c r="AP270" s="286"/>
      <c r="AQ270" s="29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286"/>
      <c r="BB270" s="286"/>
      <c r="BC270" s="286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6"/>
      <c r="BY270" s="289"/>
      <c r="BZ270" s="289"/>
      <c r="CA270" s="289"/>
      <c r="CB270" s="289"/>
      <c r="CC270" s="289"/>
      <c r="CD270" s="289"/>
      <c r="CE270" s="289"/>
      <c r="CF270" s="289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6"/>
      <c r="CT270" s="6"/>
      <c r="CU270" s="6"/>
      <c r="CV270" s="6"/>
      <c r="CW270" s="6"/>
      <c r="CX270" s="6"/>
      <c r="CY270" s="6"/>
      <c r="CZ270" s="6"/>
      <c r="DA270" s="343">
        <f t="shared" si="8"/>
        <v>128</v>
      </c>
    </row>
    <row r="271" spans="1:105" ht="20" customHeight="1" x14ac:dyDescent="0.35">
      <c r="A271" s="290" t="s">
        <v>95</v>
      </c>
      <c r="B271" s="270" t="s">
        <v>897</v>
      </c>
      <c r="C271" s="270" t="s">
        <v>258</v>
      </c>
      <c r="D271" s="270" t="s">
        <v>653</v>
      </c>
      <c r="E271" s="270" t="s">
        <v>215</v>
      </c>
      <c r="F271" s="270" t="s">
        <v>440</v>
      </c>
      <c r="G271" s="270" t="s">
        <v>39</v>
      </c>
      <c r="H271" s="298">
        <f>H270/60</f>
        <v>2.1333333333333333</v>
      </c>
      <c r="I271" s="286"/>
      <c r="J271" s="292">
        <v>2.4</v>
      </c>
      <c r="K271" s="286"/>
      <c r="L271" s="286">
        <v>2.6</v>
      </c>
      <c r="M271" s="286"/>
      <c r="N271" s="286"/>
      <c r="O271" s="286"/>
      <c r="P271" s="286"/>
      <c r="Q271" s="286"/>
      <c r="R271" s="286"/>
      <c r="S271" s="286">
        <v>2.6</v>
      </c>
      <c r="T271" s="300">
        <v>2.4</v>
      </c>
      <c r="U271" s="286"/>
      <c r="V271" s="294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>
        <v>2.4</v>
      </c>
      <c r="AJ271" s="286"/>
      <c r="AK271" s="287"/>
      <c r="AL271" s="288"/>
      <c r="AM271" s="287"/>
      <c r="AN271" s="287"/>
      <c r="AO271" s="300">
        <v>2.4</v>
      </c>
      <c r="AP271" s="300">
        <v>2.4</v>
      </c>
      <c r="AQ271" s="296">
        <v>2.6</v>
      </c>
      <c r="AR271" s="300">
        <v>2.4</v>
      </c>
      <c r="AS271" s="300">
        <v>2.4</v>
      </c>
      <c r="AT271" s="300">
        <v>2.4</v>
      </c>
      <c r="AU271" s="300"/>
      <c r="AV271" s="300">
        <v>2.4</v>
      </c>
      <c r="AW271" s="300">
        <v>2.4</v>
      </c>
      <c r="AX271" s="300">
        <v>2.4</v>
      </c>
      <c r="AY271" s="300">
        <v>2.4</v>
      </c>
      <c r="AZ271" s="300">
        <v>2.4</v>
      </c>
      <c r="BA271" s="300">
        <v>2.4</v>
      </c>
      <c r="BB271" s="300">
        <v>2.4</v>
      </c>
      <c r="BC271" s="300">
        <v>2.4</v>
      </c>
      <c r="BD271" s="287"/>
      <c r="BE271" s="287"/>
      <c r="BF271" s="287"/>
      <c r="BG271" s="288">
        <v>2.5</v>
      </c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300">
        <f>J271</f>
        <v>2.4</v>
      </c>
      <c r="BY271" s="289"/>
      <c r="BZ271" s="289"/>
      <c r="CA271" s="289"/>
      <c r="CB271" s="289"/>
      <c r="CC271" s="289"/>
      <c r="CD271" s="289"/>
      <c r="CE271" s="289"/>
      <c r="CF271" s="289"/>
      <c r="CG271" s="287"/>
      <c r="CH271" s="287"/>
      <c r="CI271" s="287"/>
      <c r="CJ271" s="287"/>
      <c r="CK271" s="287"/>
      <c r="CL271" s="287"/>
      <c r="CM271" s="292">
        <v>2.4</v>
      </c>
      <c r="CN271" s="287"/>
      <c r="CO271" s="292">
        <v>2.4</v>
      </c>
      <c r="CP271" s="287"/>
      <c r="CQ271" s="287">
        <v>2.5</v>
      </c>
      <c r="CR271" s="287">
        <v>2.8</v>
      </c>
      <c r="CS271" s="6"/>
      <c r="CT271" s="6"/>
      <c r="CU271" s="6"/>
      <c r="CV271" s="6"/>
      <c r="CW271" s="6"/>
      <c r="CX271" s="6"/>
      <c r="CY271" s="6"/>
      <c r="CZ271" s="6"/>
      <c r="DA271" s="343">
        <f t="shared" si="8"/>
        <v>2.1333333333333333</v>
      </c>
    </row>
    <row r="272" spans="1:105" ht="20" customHeight="1" x14ac:dyDescent="0.35">
      <c r="A272" s="290">
        <v>4000001591</v>
      </c>
      <c r="B272" s="270" t="s">
        <v>1080</v>
      </c>
      <c r="C272" s="270" t="s">
        <v>258</v>
      </c>
      <c r="D272" s="270" t="s">
        <v>653</v>
      </c>
      <c r="E272" s="270" t="s">
        <v>215</v>
      </c>
      <c r="F272" s="270" t="s">
        <v>440</v>
      </c>
      <c r="G272" s="270" t="s">
        <v>39</v>
      </c>
      <c r="H272" s="298">
        <v>2.13</v>
      </c>
      <c r="I272" s="286"/>
      <c r="J272" s="286"/>
      <c r="K272" s="286">
        <v>2.5</v>
      </c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94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7"/>
      <c r="AL272" s="288"/>
      <c r="AM272" s="287"/>
      <c r="AN272" s="287"/>
      <c r="AO272" s="286"/>
      <c r="AP272" s="286"/>
      <c r="AQ272" s="296"/>
      <c r="AR272" s="286"/>
      <c r="AS272" s="286"/>
      <c r="AT272" s="286"/>
      <c r="AU272" s="286"/>
      <c r="AV272" s="286"/>
      <c r="AW272" s="286"/>
      <c r="AX272" s="286"/>
      <c r="AY272" s="286"/>
      <c r="AZ272" s="286"/>
      <c r="BA272" s="286"/>
      <c r="BB272" s="286"/>
      <c r="BC272" s="286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6"/>
      <c r="BY272" s="289"/>
      <c r="BZ272" s="289"/>
      <c r="CA272" s="289"/>
      <c r="CB272" s="289"/>
      <c r="CC272" s="289"/>
      <c r="CD272" s="289"/>
      <c r="CE272" s="289"/>
      <c r="CF272" s="289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6"/>
      <c r="CT272" s="6"/>
      <c r="CU272" s="6"/>
      <c r="CV272" s="6"/>
      <c r="CW272" s="6"/>
      <c r="CX272" s="6"/>
      <c r="CY272" s="6"/>
      <c r="CZ272" s="6"/>
      <c r="DA272" s="343">
        <f t="shared" si="8"/>
        <v>2.13</v>
      </c>
    </row>
    <row r="273" spans="1:105" ht="20" customHeight="1" x14ac:dyDescent="0.35">
      <c r="A273" s="290"/>
      <c r="B273" s="270" t="s">
        <v>899</v>
      </c>
      <c r="C273" s="270" t="s">
        <v>258</v>
      </c>
      <c r="D273" s="270"/>
      <c r="E273" s="270" t="s">
        <v>633</v>
      </c>
      <c r="F273" s="270" t="s">
        <v>898</v>
      </c>
      <c r="G273" s="270" t="s">
        <v>39</v>
      </c>
      <c r="H273" s="298">
        <v>100</v>
      </c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94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7"/>
      <c r="AL273" s="288"/>
      <c r="AM273" s="287"/>
      <c r="AN273" s="287"/>
      <c r="AO273" s="286"/>
      <c r="AP273" s="286"/>
      <c r="AQ273" s="296"/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286"/>
      <c r="BB273" s="286"/>
      <c r="BC273" s="286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  <c r="BU273" s="287"/>
      <c r="BV273" s="287"/>
      <c r="BW273" s="287"/>
      <c r="BX273" s="286"/>
      <c r="BY273" s="289"/>
      <c r="BZ273" s="289"/>
      <c r="CA273" s="289"/>
      <c r="CB273" s="289"/>
      <c r="CC273" s="289"/>
      <c r="CD273" s="289"/>
      <c r="CE273" s="289"/>
      <c r="CF273" s="289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6"/>
      <c r="CT273" s="6"/>
      <c r="CU273" s="6"/>
      <c r="CV273" s="6"/>
      <c r="CW273" s="6"/>
      <c r="CX273" s="6"/>
      <c r="CY273" s="6"/>
      <c r="CZ273" s="6"/>
      <c r="DA273" s="343">
        <f t="shared" si="8"/>
        <v>100</v>
      </c>
    </row>
    <row r="274" spans="1:105" ht="20" customHeight="1" x14ac:dyDescent="0.35">
      <c r="A274" s="290">
        <v>4000005669</v>
      </c>
      <c r="B274" s="270" t="s">
        <v>900</v>
      </c>
      <c r="C274" s="270" t="s">
        <v>258</v>
      </c>
      <c r="D274" s="270" t="s">
        <v>653</v>
      </c>
      <c r="E274" s="270" t="s">
        <v>633</v>
      </c>
      <c r="F274" s="270" t="s">
        <v>440</v>
      </c>
      <c r="G274" s="270" t="s">
        <v>39</v>
      </c>
      <c r="H274" s="298">
        <f>H273/40</f>
        <v>2.5</v>
      </c>
      <c r="I274" s="286">
        <v>3</v>
      </c>
      <c r="J274" s="292">
        <v>3</v>
      </c>
      <c r="K274" s="286">
        <v>3</v>
      </c>
      <c r="L274" s="286"/>
      <c r="M274" s="286"/>
      <c r="N274" s="292">
        <v>3.1</v>
      </c>
      <c r="O274" s="286">
        <v>3.1</v>
      </c>
      <c r="P274" s="292">
        <v>3.1</v>
      </c>
      <c r="Q274" s="286">
        <v>3.2</v>
      </c>
      <c r="R274" s="286">
        <v>3.1</v>
      </c>
      <c r="S274" s="286"/>
      <c r="T274" s="286">
        <v>3</v>
      </c>
      <c r="U274" s="286"/>
      <c r="V274" s="294"/>
      <c r="W274" s="286"/>
      <c r="X274" s="286"/>
      <c r="Y274" s="286"/>
      <c r="Z274" s="286"/>
      <c r="AA274" s="286"/>
      <c r="AB274" s="286"/>
      <c r="AC274" s="289">
        <v>3.1</v>
      </c>
      <c r="AD274" s="286"/>
      <c r="AE274" s="286"/>
      <c r="AF274" s="286"/>
      <c r="AG274" s="286"/>
      <c r="AH274" s="286"/>
      <c r="AI274" s="286"/>
      <c r="AJ274" s="286">
        <v>3.1</v>
      </c>
      <c r="AK274" s="295">
        <v>3</v>
      </c>
      <c r="AL274" s="288"/>
      <c r="AM274" s="287"/>
      <c r="AN274" s="287"/>
      <c r="AO274" s="287"/>
      <c r="AP274" s="286"/>
      <c r="AQ274" s="296">
        <v>3.1</v>
      </c>
      <c r="AR274" s="286"/>
      <c r="AS274" s="286"/>
      <c r="AT274" s="286"/>
      <c r="AU274" s="286">
        <v>3</v>
      </c>
      <c r="AV274" s="286"/>
      <c r="AW274" s="286"/>
      <c r="AX274" s="286"/>
      <c r="AY274" s="286"/>
      <c r="AZ274" s="286"/>
      <c r="BA274" s="286"/>
      <c r="BB274" s="286"/>
      <c r="BC274" s="286"/>
      <c r="BD274" s="287"/>
      <c r="BE274" s="287"/>
      <c r="BF274" s="287"/>
      <c r="BG274" s="288">
        <v>3</v>
      </c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  <c r="BU274" s="287"/>
      <c r="BV274" s="287"/>
      <c r="BW274" s="287"/>
      <c r="BX274" s="286"/>
      <c r="BY274" s="289"/>
      <c r="BZ274" s="289">
        <v>3.1</v>
      </c>
      <c r="CA274" s="289"/>
      <c r="CB274" s="289"/>
      <c r="CC274" s="289"/>
      <c r="CD274" s="289"/>
      <c r="CE274" s="289"/>
      <c r="CF274" s="289"/>
      <c r="CG274" s="287"/>
      <c r="CH274" s="287"/>
      <c r="CI274" s="287"/>
      <c r="CJ274" s="287"/>
      <c r="CK274" s="287"/>
      <c r="CL274" s="287"/>
      <c r="CM274" s="287"/>
      <c r="CN274" s="287"/>
      <c r="CO274" s="287"/>
      <c r="CP274" s="287"/>
      <c r="CQ274" s="287"/>
      <c r="CR274" s="287">
        <v>3.3</v>
      </c>
      <c r="CS274" s="288">
        <f>I274</f>
        <v>3</v>
      </c>
      <c r="CT274" s="6"/>
      <c r="CU274" s="6"/>
      <c r="CV274" s="6"/>
      <c r="CW274" s="6"/>
      <c r="CX274" s="6"/>
      <c r="CY274" s="6"/>
      <c r="CZ274" s="6"/>
      <c r="DA274" s="343">
        <f t="shared" si="8"/>
        <v>2.5</v>
      </c>
    </row>
    <row r="275" spans="1:105" ht="20" customHeight="1" x14ac:dyDescent="0.35">
      <c r="A275" s="290"/>
      <c r="B275" s="270" t="s">
        <v>901</v>
      </c>
      <c r="C275" s="270" t="s">
        <v>1646</v>
      </c>
      <c r="D275" s="297" t="s">
        <v>627</v>
      </c>
      <c r="E275" s="270" t="s">
        <v>45</v>
      </c>
      <c r="F275" s="270" t="s">
        <v>902</v>
      </c>
      <c r="G275" s="270" t="s">
        <v>33</v>
      </c>
      <c r="H275" s="298">
        <v>140</v>
      </c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94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7"/>
      <c r="AL275" s="288"/>
      <c r="AM275" s="287"/>
      <c r="AN275" s="287"/>
      <c r="AO275" s="287"/>
      <c r="AP275" s="286"/>
      <c r="AQ275" s="29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286"/>
      <c r="BB275" s="286"/>
      <c r="BC275" s="286"/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6"/>
      <c r="BY275" s="289"/>
      <c r="BZ275" s="289"/>
      <c r="CA275" s="289"/>
      <c r="CB275" s="289"/>
      <c r="CC275" s="289"/>
      <c r="CD275" s="289"/>
      <c r="CE275" s="289"/>
      <c r="CF275" s="289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6"/>
      <c r="CT275" s="6"/>
      <c r="CU275" s="6"/>
      <c r="CV275" s="6"/>
      <c r="CW275" s="6"/>
      <c r="CX275" s="6"/>
      <c r="CY275" s="6"/>
      <c r="CZ275" s="6"/>
      <c r="DA275" s="343">
        <f t="shared" si="8"/>
        <v>140</v>
      </c>
    </row>
    <row r="276" spans="1:105" ht="20" customHeight="1" x14ac:dyDescent="0.35">
      <c r="A276" s="290" t="s">
        <v>57</v>
      </c>
      <c r="B276" s="270" t="s">
        <v>903</v>
      </c>
      <c r="C276" s="270" t="s">
        <v>1646</v>
      </c>
      <c r="D276" s="297" t="s">
        <v>627</v>
      </c>
      <c r="E276" s="270" t="s">
        <v>45</v>
      </c>
      <c r="F276" s="270" t="s">
        <v>58</v>
      </c>
      <c r="G276" s="270" t="s">
        <v>44</v>
      </c>
      <c r="H276" s="298">
        <f>H275/10</f>
        <v>14</v>
      </c>
      <c r="I276" s="300">
        <v>20</v>
      </c>
      <c r="J276" s="286">
        <v>19.5</v>
      </c>
      <c r="K276" s="286"/>
      <c r="L276" s="286">
        <v>19</v>
      </c>
      <c r="M276" s="286"/>
      <c r="N276" s="286"/>
      <c r="O276" s="286">
        <v>19</v>
      </c>
      <c r="P276" s="292">
        <v>19</v>
      </c>
      <c r="Q276" s="286">
        <v>19</v>
      </c>
      <c r="R276" s="286">
        <v>19</v>
      </c>
      <c r="S276" s="286">
        <v>20</v>
      </c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>
        <v>20</v>
      </c>
      <c r="AI276" s="286"/>
      <c r="AJ276" s="286"/>
      <c r="AK276" s="295">
        <v>19</v>
      </c>
      <c r="AL276" s="288"/>
      <c r="AM276" s="287"/>
      <c r="AN276" s="287"/>
      <c r="AO276" s="287"/>
      <c r="AP276" s="286">
        <v>13</v>
      </c>
      <c r="AQ276" s="296"/>
      <c r="AR276" s="286">
        <v>13</v>
      </c>
      <c r="AS276" s="286"/>
      <c r="AT276" s="286">
        <v>13</v>
      </c>
      <c r="AU276" s="286">
        <v>13</v>
      </c>
      <c r="AV276" s="286">
        <v>13</v>
      </c>
      <c r="AW276" s="286">
        <v>13</v>
      </c>
      <c r="AX276" s="286">
        <v>13</v>
      </c>
      <c r="AY276" s="286">
        <v>13</v>
      </c>
      <c r="AZ276" s="286">
        <v>13</v>
      </c>
      <c r="BA276" s="286">
        <v>13</v>
      </c>
      <c r="BB276" s="286">
        <f>BA276</f>
        <v>13</v>
      </c>
      <c r="BC276" s="286">
        <v>13</v>
      </c>
      <c r="BD276" s="287"/>
      <c r="BE276" s="287"/>
      <c r="BF276" s="287"/>
      <c r="BG276" s="288">
        <v>18</v>
      </c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  <c r="BU276" s="287"/>
      <c r="BV276" s="287"/>
      <c r="BW276" s="287"/>
      <c r="BX276" s="286"/>
      <c r="BY276" s="289"/>
      <c r="BZ276" s="289"/>
      <c r="CA276" s="289"/>
      <c r="CB276" s="289"/>
      <c r="CC276" s="289"/>
      <c r="CD276" s="289"/>
      <c r="CE276" s="289"/>
      <c r="CF276" s="289"/>
      <c r="CG276" s="287"/>
      <c r="CH276" s="287"/>
      <c r="CI276" s="287"/>
      <c r="CJ276" s="287"/>
      <c r="CK276" s="287"/>
      <c r="CL276" s="287"/>
      <c r="CM276" s="287"/>
      <c r="CN276" s="287"/>
      <c r="CO276" s="287"/>
      <c r="CP276" s="287"/>
      <c r="CQ276" s="287">
        <v>18</v>
      </c>
      <c r="CR276" s="287"/>
      <c r="CS276" s="288">
        <f>I276</f>
        <v>20</v>
      </c>
      <c r="CT276" s="6"/>
      <c r="CU276" s="6"/>
      <c r="CV276" s="6"/>
      <c r="CW276" s="6"/>
      <c r="CX276" s="6"/>
      <c r="CY276" s="6"/>
      <c r="CZ276" s="6"/>
      <c r="DA276" s="343">
        <f t="shared" si="8"/>
        <v>14</v>
      </c>
    </row>
    <row r="277" spans="1:105" ht="20" customHeight="1" x14ac:dyDescent="0.35">
      <c r="A277" s="290"/>
      <c r="B277" s="270" t="s">
        <v>1167</v>
      </c>
      <c r="C277" s="270" t="s">
        <v>1527</v>
      </c>
      <c r="D277" s="297" t="s">
        <v>627</v>
      </c>
      <c r="E277" s="270" t="s">
        <v>45</v>
      </c>
      <c r="F277" s="270" t="s">
        <v>58</v>
      </c>
      <c r="G277" s="270" t="s">
        <v>44</v>
      </c>
      <c r="H277" s="298">
        <f>H276</f>
        <v>14</v>
      </c>
      <c r="I277" s="292"/>
      <c r="J277" s="286"/>
      <c r="K277" s="286"/>
      <c r="L277" s="286"/>
      <c r="M277" s="286"/>
      <c r="N277" s="286"/>
      <c r="O277" s="286"/>
      <c r="P277" s="292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>
        <v>19</v>
      </c>
      <c r="AD277" s="286"/>
      <c r="AE277" s="286"/>
      <c r="AF277" s="286"/>
      <c r="AG277" s="286"/>
      <c r="AH277" s="286"/>
      <c r="AI277" s="286"/>
      <c r="AJ277" s="286"/>
      <c r="AK277" s="287"/>
      <c r="AL277" s="288"/>
      <c r="AM277" s="287"/>
      <c r="AN277" s="287"/>
      <c r="AO277" s="287"/>
      <c r="AP277" s="286"/>
      <c r="AQ277" s="296">
        <v>19</v>
      </c>
      <c r="AR277" s="286"/>
      <c r="AS277" s="286"/>
      <c r="AT277" s="286"/>
      <c r="AU277" s="286"/>
      <c r="AV277" s="286"/>
      <c r="AW277" s="286"/>
      <c r="AX277" s="286"/>
      <c r="AY277" s="286"/>
      <c r="AZ277" s="286"/>
      <c r="BA277" s="286"/>
      <c r="BB277" s="286"/>
      <c r="BC277" s="286"/>
      <c r="BD277" s="287"/>
      <c r="BE277" s="287"/>
      <c r="BF277" s="287"/>
      <c r="BG277" s="288">
        <v>19</v>
      </c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286"/>
      <c r="BY277" s="289"/>
      <c r="BZ277" s="289"/>
      <c r="CA277" s="289"/>
      <c r="CB277" s="289"/>
      <c r="CC277" s="289"/>
      <c r="CD277" s="289"/>
      <c r="CE277" s="289"/>
      <c r="CF277" s="289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6"/>
      <c r="CT277" s="6"/>
      <c r="CU277" s="6"/>
      <c r="CV277" s="6"/>
      <c r="CW277" s="6"/>
      <c r="CX277" s="6"/>
      <c r="CY277" s="6"/>
      <c r="CZ277" s="6"/>
      <c r="DA277" s="343">
        <f t="shared" si="8"/>
        <v>14</v>
      </c>
    </row>
    <row r="278" spans="1:105" ht="20" customHeight="1" x14ac:dyDescent="0.35">
      <c r="A278" s="290" t="s">
        <v>466</v>
      </c>
      <c r="B278" s="270" t="s">
        <v>904</v>
      </c>
      <c r="C278" s="270" t="s">
        <v>408</v>
      </c>
      <c r="D278" s="297" t="s">
        <v>653</v>
      </c>
      <c r="E278" s="270" t="s">
        <v>34</v>
      </c>
      <c r="F278" s="270" t="s">
        <v>1901</v>
      </c>
      <c r="G278" s="270" t="s">
        <v>38</v>
      </c>
      <c r="H278" s="298">
        <f>6*2</f>
        <v>12</v>
      </c>
      <c r="I278" s="292">
        <v>16</v>
      </c>
      <c r="J278" s="292">
        <v>16</v>
      </c>
      <c r="K278" s="286"/>
      <c r="L278" s="286"/>
      <c r="M278" s="286"/>
      <c r="N278" s="286"/>
      <c r="O278" s="286"/>
      <c r="P278" s="286"/>
      <c r="Q278" s="286"/>
      <c r="R278" s="286"/>
      <c r="S278" s="286"/>
      <c r="T278" s="286">
        <v>16</v>
      </c>
      <c r="U278" s="286"/>
      <c r="V278" s="294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>
        <v>16</v>
      </c>
      <c r="AJ278" s="286"/>
      <c r="AK278" s="295">
        <v>18</v>
      </c>
      <c r="AL278" s="288"/>
      <c r="AM278" s="287"/>
      <c r="AN278" s="287"/>
      <c r="AO278" s="287"/>
      <c r="AP278" s="286">
        <v>16</v>
      </c>
      <c r="AQ278" s="296">
        <v>16</v>
      </c>
      <c r="AR278" s="286">
        <v>16</v>
      </c>
      <c r="AS278" s="286"/>
      <c r="AT278" s="286">
        <v>16</v>
      </c>
      <c r="AU278" s="286">
        <v>16</v>
      </c>
      <c r="AV278" s="286">
        <v>16</v>
      </c>
      <c r="AW278" s="286">
        <v>16</v>
      </c>
      <c r="AX278" s="286">
        <v>16</v>
      </c>
      <c r="AY278" s="286">
        <v>16</v>
      </c>
      <c r="AZ278" s="286">
        <v>16</v>
      </c>
      <c r="BA278" s="286">
        <v>16</v>
      </c>
      <c r="BB278" s="286">
        <f>BA278</f>
        <v>16</v>
      </c>
      <c r="BC278" s="286">
        <v>16</v>
      </c>
      <c r="BD278" s="287"/>
      <c r="BE278" s="287"/>
      <c r="BF278" s="287"/>
      <c r="BG278" s="288">
        <v>16</v>
      </c>
      <c r="BH278" s="286">
        <v>16</v>
      </c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6">
        <v>16</v>
      </c>
      <c r="BY278" s="289"/>
      <c r="BZ278" s="289"/>
      <c r="CA278" s="289"/>
      <c r="CB278" s="289"/>
      <c r="CC278" s="289"/>
      <c r="CD278" s="289"/>
      <c r="CE278" s="289"/>
      <c r="CF278" s="289"/>
      <c r="CG278" s="287"/>
      <c r="CH278" s="287"/>
      <c r="CI278" s="287"/>
      <c r="CJ278" s="287"/>
      <c r="CK278" s="287"/>
      <c r="CL278" s="287"/>
      <c r="CM278" s="292">
        <v>16</v>
      </c>
      <c r="CN278" s="292">
        <v>16</v>
      </c>
      <c r="CO278" s="287"/>
      <c r="CP278" s="287"/>
      <c r="CQ278" s="287">
        <v>16</v>
      </c>
      <c r="CR278" s="292">
        <v>20</v>
      </c>
      <c r="CS278" s="288">
        <f>I278</f>
        <v>16</v>
      </c>
      <c r="CT278" s="6"/>
      <c r="CU278" s="6"/>
      <c r="CV278" s="6"/>
      <c r="CW278" s="6"/>
      <c r="CX278" s="6"/>
      <c r="CY278" s="6"/>
      <c r="CZ278" s="6"/>
      <c r="DA278" s="343">
        <f t="shared" si="8"/>
        <v>12</v>
      </c>
    </row>
    <row r="279" spans="1:105" ht="20" customHeight="1" x14ac:dyDescent="0.35">
      <c r="A279" s="290">
        <v>520788</v>
      </c>
      <c r="B279" s="270" t="s">
        <v>2180</v>
      </c>
      <c r="C279" s="270" t="s">
        <v>408</v>
      </c>
      <c r="D279" s="297" t="s">
        <v>653</v>
      </c>
      <c r="E279" s="270" t="s">
        <v>34</v>
      </c>
      <c r="F279" s="270" t="s">
        <v>622</v>
      </c>
      <c r="G279" s="270" t="s">
        <v>38</v>
      </c>
      <c r="H279" s="298">
        <v>6</v>
      </c>
      <c r="I279" s="292">
        <v>8</v>
      </c>
      <c r="J279" s="292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94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95"/>
      <c r="AL279" s="288"/>
      <c r="AM279" s="287"/>
      <c r="AN279" s="287"/>
      <c r="AO279" s="287"/>
      <c r="AP279" s="286"/>
      <c r="AQ279" s="29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286"/>
      <c r="BB279" s="286"/>
      <c r="BC279" s="286"/>
      <c r="BD279" s="287"/>
      <c r="BE279" s="287"/>
      <c r="BF279" s="287"/>
      <c r="BG279" s="288"/>
      <c r="BH279" s="286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  <c r="BU279" s="287"/>
      <c r="BV279" s="287"/>
      <c r="BW279" s="287"/>
      <c r="BX279" s="286"/>
      <c r="BY279" s="289"/>
      <c r="BZ279" s="289"/>
      <c r="CA279" s="289"/>
      <c r="CB279" s="289"/>
      <c r="CC279" s="289"/>
      <c r="CD279" s="289"/>
      <c r="CE279" s="289"/>
      <c r="CF279" s="289"/>
      <c r="CG279" s="287"/>
      <c r="CH279" s="287"/>
      <c r="CI279" s="287"/>
      <c r="CJ279" s="287"/>
      <c r="CK279" s="287"/>
      <c r="CL279" s="287"/>
      <c r="CM279" s="292"/>
      <c r="CN279" s="287"/>
      <c r="CO279" s="287"/>
      <c r="CP279" s="287"/>
      <c r="CQ279" s="287"/>
      <c r="CR279" s="292"/>
      <c r="CS279" s="288">
        <f>I279</f>
        <v>8</v>
      </c>
      <c r="CT279" s="6"/>
      <c r="CU279" s="6"/>
      <c r="CV279" s="6"/>
      <c r="CW279" s="6"/>
      <c r="CX279" s="6"/>
      <c r="CY279" s="6"/>
      <c r="CZ279" s="6"/>
      <c r="DA279" s="343">
        <f t="shared" ref="DA279" si="9">H279</f>
        <v>6</v>
      </c>
    </row>
    <row r="280" spans="1:105" ht="20" customHeight="1" x14ac:dyDescent="0.35">
      <c r="A280" s="290" t="s">
        <v>2126</v>
      </c>
      <c r="B280" s="270" t="s">
        <v>904</v>
      </c>
      <c r="C280" s="270" t="s">
        <v>408</v>
      </c>
      <c r="D280" s="297" t="s">
        <v>653</v>
      </c>
      <c r="E280" s="270" t="s">
        <v>34</v>
      </c>
      <c r="F280" s="270" t="s">
        <v>1901</v>
      </c>
      <c r="G280" s="270" t="s">
        <v>38</v>
      </c>
      <c r="H280" s="298">
        <f>6*2</f>
        <v>12</v>
      </c>
      <c r="I280" s="292"/>
      <c r="J280" s="292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94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95"/>
      <c r="AL280" s="288"/>
      <c r="AM280" s="287"/>
      <c r="AN280" s="287"/>
      <c r="AO280" s="287"/>
      <c r="AP280" s="286"/>
      <c r="AQ280" s="296"/>
      <c r="AR280" s="286"/>
      <c r="AS280" s="286"/>
      <c r="AT280" s="286"/>
      <c r="AU280" s="286"/>
      <c r="AV280" s="286"/>
      <c r="AW280" s="286"/>
      <c r="AX280" s="286"/>
      <c r="AY280" s="286"/>
      <c r="AZ280" s="286"/>
      <c r="BA280" s="286"/>
      <c r="BB280" s="286"/>
      <c r="BC280" s="286"/>
      <c r="BD280" s="287"/>
      <c r="BE280" s="287"/>
      <c r="BF280" s="287"/>
      <c r="BG280" s="288"/>
      <c r="BH280" s="286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  <c r="BU280" s="287"/>
      <c r="BV280" s="287"/>
      <c r="BW280" s="287"/>
      <c r="BX280" s="286"/>
      <c r="BY280" s="289"/>
      <c r="BZ280" s="289"/>
      <c r="CA280" s="289"/>
      <c r="CB280" s="289"/>
      <c r="CC280" s="289"/>
      <c r="CD280" s="289"/>
      <c r="CE280" s="289"/>
      <c r="CF280" s="289"/>
      <c r="CG280" s="287"/>
      <c r="CH280" s="287"/>
      <c r="CI280" s="287"/>
      <c r="CJ280" s="287"/>
      <c r="CK280" s="287"/>
      <c r="CL280" s="287"/>
      <c r="CM280" s="292"/>
      <c r="CN280" s="287"/>
      <c r="CO280" s="287"/>
      <c r="CP280" s="287"/>
      <c r="CQ280" s="287">
        <v>16</v>
      </c>
      <c r="CR280" s="287"/>
      <c r="CS280" s="288">
        <f>I280</f>
        <v>0</v>
      </c>
      <c r="CT280" s="6"/>
      <c r="CU280" s="6"/>
      <c r="CV280" s="6"/>
      <c r="CW280" s="6"/>
      <c r="CX280" s="6"/>
      <c r="CY280" s="6"/>
      <c r="CZ280" s="6"/>
      <c r="DA280" s="343">
        <f>H280</f>
        <v>12</v>
      </c>
    </row>
    <row r="281" spans="1:105" ht="20" customHeight="1" x14ac:dyDescent="0.35">
      <c r="A281" s="301"/>
      <c r="B281" s="270" t="s">
        <v>905</v>
      </c>
      <c r="C281" s="270" t="s">
        <v>273</v>
      </c>
      <c r="D281" s="270" t="s">
        <v>653</v>
      </c>
      <c r="E281" s="270" t="s">
        <v>34</v>
      </c>
      <c r="F281" s="270" t="s">
        <v>469</v>
      </c>
      <c r="G281" s="270" t="s">
        <v>33</v>
      </c>
      <c r="H281" s="298">
        <v>80</v>
      </c>
      <c r="I281" s="286"/>
      <c r="J281" s="286"/>
      <c r="K281" s="286"/>
      <c r="L281" s="286">
        <v>90</v>
      </c>
      <c r="M281" s="400"/>
      <c r="N281" s="286"/>
      <c r="O281" s="286"/>
      <c r="P281" s="286"/>
      <c r="Q281" s="286"/>
      <c r="R281" s="286">
        <v>90</v>
      </c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7"/>
      <c r="AL281" s="288"/>
      <c r="AM281" s="287"/>
      <c r="AN281" s="287"/>
      <c r="AO281" s="287"/>
      <c r="AP281" s="286"/>
      <c r="AQ281" s="296">
        <v>95</v>
      </c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  <c r="BC281" s="286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  <c r="BU281" s="287"/>
      <c r="BV281" s="287"/>
      <c r="BW281" s="287"/>
      <c r="BX281" s="286"/>
      <c r="BY281" s="289"/>
      <c r="BZ281" s="289"/>
      <c r="CA281" s="289"/>
      <c r="CB281" s="289"/>
      <c r="CC281" s="289"/>
      <c r="CD281" s="289"/>
      <c r="CE281" s="289"/>
      <c r="CF281" s="289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6"/>
      <c r="CT281" s="6"/>
      <c r="CU281" s="6"/>
      <c r="CV281" s="6"/>
      <c r="CW281" s="6"/>
      <c r="CX281" s="6"/>
      <c r="CY281" s="6"/>
      <c r="CZ281" s="6"/>
      <c r="DA281" s="343">
        <f t="shared" si="8"/>
        <v>80</v>
      </c>
    </row>
    <row r="282" spans="1:105" ht="20" customHeight="1" x14ac:dyDescent="0.35">
      <c r="A282" s="290"/>
      <c r="B282" s="270" t="s">
        <v>906</v>
      </c>
      <c r="C282" s="270" t="s">
        <v>273</v>
      </c>
      <c r="D282" s="297" t="s">
        <v>653</v>
      </c>
      <c r="E282" s="270" t="s">
        <v>34</v>
      </c>
      <c r="F282" s="270" t="s">
        <v>349</v>
      </c>
      <c r="G282" s="270" t="s">
        <v>39</v>
      </c>
      <c r="H282" s="298">
        <f>H281/2</f>
        <v>40</v>
      </c>
      <c r="I282" s="292"/>
      <c r="J282" s="286"/>
      <c r="K282" s="286"/>
      <c r="L282" s="286">
        <v>45</v>
      </c>
      <c r="M282" s="400"/>
      <c r="N282" s="286"/>
      <c r="O282" s="286"/>
      <c r="P282" s="292">
        <v>45</v>
      </c>
      <c r="Q282" s="286"/>
      <c r="R282" s="286">
        <v>45</v>
      </c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7"/>
      <c r="AL282" s="288"/>
      <c r="AM282" s="287"/>
      <c r="AN282" s="287"/>
      <c r="AO282" s="287"/>
      <c r="AP282" s="286"/>
      <c r="AQ282" s="296"/>
      <c r="AR282" s="286"/>
      <c r="AS282" s="286"/>
      <c r="AT282" s="286"/>
      <c r="AU282" s="286"/>
      <c r="AV282" s="286"/>
      <c r="AW282" s="286"/>
      <c r="AX282" s="286"/>
      <c r="AY282" s="286"/>
      <c r="AZ282" s="286"/>
      <c r="BA282" s="286"/>
      <c r="BB282" s="286"/>
      <c r="BC282" s="286"/>
      <c r="BD282" s="287"/>
      <c r="BE282" s="287"/>
      <c r="BF282" s="287"/>
      <c r="BG282" s="288">
        <v>45</v>
      </c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  <c r="BU282" s="287"/>
      <c r="BV282" s="287"/>
      <c r="BW282" s="287"/>
      <c r="BX282" s="286"/>
      <c r="BY282" s="289"/>
      <c r="BZ282" s="289"/>
      <c r="CA282" s="289"/>
      <c r="CB282" s="289"/>
      <c r="CC282" s="289"/>
      <c r="CD282" s="289"/>
      <c r="CE282" s="289"/>
      <c r="CF282" s="289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/>
      <c r="CR282" s="287"/>
      <c r="CS282" s="318"/>
      <c r="CT282" s="6"/>
      <c r="CU282" s="6"/>
      <c r="CV282" s="6"/>
      <c r="CW282" s="6"/>
      <c r="CX282" s="6"/>
      <c r="CY282" s="6"/>
      <c r="CZ282" s="6"/>
      <c r="DA282" s="343">
        <f t="shared" si="8"/>
        <v>40</v>
      </c>
    </row>
    <row r="283" spans="1:105" ht="20" customHeight="1" x14ac:dyDescent="0.35">
      <c r="A283" s="290"/>
      <c r="B283" s="270" t="s">
        <v>1445</v>
      </c>
      <c r="C283" s="270" t="s">
        <v>2170</v>
      </c>
      <c r="D283" s="297" t="s">
        <v>535</v>
      </c>
      <c r="E283" s="270" t="s">
        <v>34</v>
      </c>
      <c r="F283" s="270" t="s">
        <v>66</v>
      </c>
      <c r="G283" s="270" t="s">
        <v>544</v>
      </c>
      <c r="H283" s="298">
        <v>5.5</v>
      </c>
      <c r="I283" s="292">
        <v>7.5</v>
      </c>
      <c r="J283" s="286"/>
      <c r="K283" s="286"/>
      <c r="L283" s="286"/>
      <c r="M283" s="286"/>
      <c r="N283" s="286"/>
      <c r="O283" s="286"/>
      <c r="P283" s="292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>
        <v>8</v>
      </c>
      <c r="AK283" s="287"/>
      <c r="AL283" s="288"/>
      <c r="AM283" s="287"/>
      <c r="AN283" s="287"/>
      <c r="AO283" s="287"/>
      <c r="AP283" s="286"/>
      <c r="AQ283" s="296"/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  <c r="BC283" s="286"/>
      <c r="BD283" s="287"/>
      <c r="BE283" s="287"/>
      <c r="BF283" s="287"/>
      <c r="BG283" s="287"/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  <c r="BU283" s="287"/>
      <c r="BV283" s="287"/>
      <c r="BW283" s="287"/>
      <c r="BX283" s="286"/>
      <c r="BY283" s="289"/>
      <c r="BZ283" s="289"/>
      <c r="CA283" s="289"/>
      <c r="CB283" s="289"/>
      <c r="CC283" s="289"/>
      <c r="CD283" s="289"/>
      <c r="CE283" s="289"/>
      <c r="CF283" s="289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>
        <v>7.5</v>
      </c>
      <c r="CR283" s="287"/>
      <c r="CS283" s="296">
        <v>7.5</v>
      </c>
      <c r="CT283" s="6"/>
      <c r="CU283" s="6"/>
      <c r="CV283" s="6"/>
      <c r="CW283" s="6"/>
      <c r="CX283" s="6"/>
      <c r="CY283" s="6"/>
      <c r="CZ283" s="6"/>
      <c r="DA283" s="343">
        <f t="shared" si="8"/>
        <v>5.5</v>
      </c>
    </row>
    <row r="284" spans="1:105" ht="20" customHeight="1" x14ac:dyDescent="0.35">
      <c r="A284" s="290"/>
      <c r="B284" s="270" t="s">
        <v>907</v>
      </c>
      <c r="C284" s="270" t="s">
        <v>664</v>
      </c>
      <c r="D284" s="297" t="s">
        <v>653</v>
      </c>
      <c r="E284" s="270" t="s">
        <v>34</v>
      </c>
      <c r="F284" s="270" t="s">
        <v>32</v>
      </c>
      <c r="G284" s="270" t="s">
        <v>39</v>
      </c>
      <c r="H284" s="298">
        <v>3.8</v>
      </c>
      <c r="I284" s="292">
        <v>6</v>
      </c>
      <c r="J284" s="292">
        <v>6.5</v>
      </c>
      <c r="K284" s="286"/>
      <c r="L284" s="286"/>
      <c r="M284" s="286"/>
      <c r="N284" s="286"/>
      <c r="O284" s="286"/>
      <c r="P284" s="292">
        <v>7</v>
      </c>
      <c r="Q284" s="286"/>
      <c r="R284" s="286"/>
      <c r="S284" s="286"/>
      <c r="T284" s="286">
        <v>6.5</v>
      </c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>
        <v>7</v>
      </c>
      <c r="AH284" s="286"/>
      <c r="AI284" s="286"/>
      <c r="AJ284" s="286"/>
      <c r="AK284" s="295">
        <v>7</v>
      </c>
      <c r="AL284" s="288"/>
      <c r="AM284" s="287"/>
      <c r="AN284" s="287"/>
      <c r="AO284" s="287"/>
      <c r="AP284" s="286"/>
      <c r="AQ284" s="296">
        <v>7</v>
      </c>
      <c r="AR284" s="286"/>
      <c r="AS284" s="286"/>
      <c r="AT284" s="286">
        <v>6.5</v>
      </c>
      <c r="AU284" s="286"/>
      <c r="AV284" s="286"/>
      <c r="AW284" s="286"/>
      <c r="AX284" s="286"/>
      <c r="AY284" s="286"/>
      <c r="AZ284" s="286">
        <v>6.5</v>
      </c>
      <c r="BA284" s="286"/>
      <c r="BB284" s="286"/>
      <c r="BC284" s="286"/>
      <c r="BD284" s="287"/>
      <c r="BE284" s="287"/>
      <c r="BF284" s="287"/>
      <c r="BG284" s="288">
        <v>6.5</v>
      </c>
      <c r="BH284" s="287"/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  <c r="BU284" s="287"/>
      <c r="BV284" s="287"/>
      <c r="BW284" s="287"/>
      <c r="BX284" s="286"/>
      <c r="BY284" s="289"/>
      <c r="BZ284" s="289"/>
      <c r="CA284" s="289"/>
      <c r="CB284" s="289"/>
      <c r="CC284" s="289"/>
      <c r="CD284" s="289"/>
      <c r="CE284" s="289"/>
      <c r="CF284" s="289"/>
      <c r="CG284" s="287"/>
      <c r="CH284" s="287"/>
      <c r="CI284" s="287"/>
      <c r="CJ284" s="287"/>
      <c r="CK284" s="287"/>
      <c r="CL284" s="287">
        <v>10</v>
      </c>
      <c r="CM284" s="287"/>
      <c r="CN284" s="287"/>
      <c r="CO284" s="287"/>
      <c r="CP284" s="287"/>
      <c r="CQ284" s="287">
        <v>6</v>
      </c>
      <c r="CR284" s="287">
        <v>10.5</v>
      </c>
      <c r="CS284" s="296">
        <v>6</v>
      </c>
      <c r="CT284" s="6"/>
      <c r="CU284" s="6"/>
      <c r="CV284" s="6"/>
      <c r="CW284" s="6"/>
      <c r="CX284" s="6"/>
      <c r="CY284" s="6"/>
      <c r="CZ284" s="6"/>
      <c r="DA284" s="343">
        <f t="shared" si="8"/>
        <v>3.8</v>
      </c>
    </row>
    <row r="285" spans="1:105" ht="20" customHeight="1" x14ac:dyDescent="0.35">
      <c r="A285" s="290"/>
      <c r="B285" s="270" t="s">
        <v>1270</v>
      </c>
      <c r="C285" s="270" t="s">
        <v>664</v>
      </c>
      <c r="D285" s="297" t="s">
        <v>653</v>
      </c>
      <c r="E285" s="270" t="s">
        <v>34</v>
      </c>
      <c r="F285" s="270" t="s">
        <v>622</v>
      </c>
      <c r="G285" s="270"/>
      <c r="H285" s="298">
        <v>1.9</v>
      </c>
      <c r="I285" s="292"/>
      <c r="J285" s="286"/>
      <c r="K285" s="286"/>
      <c r="L285" s="286"/>
      <c r="M285" s="286"/>
      <c r="N285" s="286"/>
      <c r="O285" s="286"/>
      <c r="P285" s="292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7"/>
      <c r="AL285" s="288"/>
      <c r="AM285" s="287"/>
      <c r="AN285" s="287"/>
      <c r="AO285" s="287"/>
      <c r="AP285" s="286"/>
      <c r="AQ285" s="29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286"/>
      <c r="BB285" s="286"/>
      <c r="BC285" s="286"/>
      <c r="BD285" s="287"/>
      <c r="BE285" s="287"/>
      <c r="BF285" s="287"/>
      <c r="BG285" s="287"/>
      <c r="BH285" s="287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  <c r="BU285" s="287"/>
      <c r="BV285" s="287"/>
      <c r="BW285" s="287"/>
      <c r="BX285" s="286"/>
      <c r="BY285" s="289"/>
      <c r="BZ285" s="289"/>
      <c r="CA285" s="289"/>
      <c r="CB285" s="289"/>
      <c r="CC285" s="289"/>
      <c r="CD285" s="289"/>
      <c r="CE285" s="289"/>
      <c r="CF285" s="289"/>
      <c r="CG285" s="287"/>
      <c r="CH285" s="287"/>
      <c r="CI285" s="287"/>
      <c r="CJ285" s="287"/>
      <c r="CK285" s="287"/>
      <c r="CL285" s="287"/>
      <c r="CM285" s="287"/>
      <c r="CN285" s="287"/>
      <c r="CO285" s="287"/>
      <c r="CP285" s="287"/>
      <c r="CQ285" s="287"/>
      <c r="CR285" s="287"/>
      <c r="CS285" s="319">
        <v>5</v>
      </c>
      <c r="CT285" s="6"/>
      <c r="CU285" s="6"/>
      <c r="CV285" s="6"/>
      <c r="CW285" s="6"/>
      <c r="CX285" s="6"/>
      <c r="CY285" s="6"/>
      <c r="CZ285" s="6"/>
      <c r="DA285" s="343">
        <f t="shared" si="8"/>
        <v>1.9</v>
      </c>
    </row>
    <row r="286" spans="1:105" ht="20" customHeight="1" x14ac:dyDescent="0.35">
      <c r="A286" s="301"/>
      <c r="B286" s="270" t="s">
        <v>908</v>
      </c>
      <c r="C286" s="270" t="s">
        <v>439</v>
      </c>
      <c r="D286" s="270" t="s">
        <v>1103</v>
      </c>
      <c r="E286" s="270" t="s">
        <v>155</v>
      </c>
      <c r="F286" s="270" t="s">
        <v>111</v>
      </c>
      <c r="G286" s="270" t="s">
        <v>109</v>
      </c>
      <c r="H286" s="298">
        <f>74/24</f>
        <v>3.0833333333333335</v>
      </c>
      <c r="I286" s="286">
        <v>5</v>
      </c>
      <c r="J286" s="292">
        <v>4</v>
      </c>
      <c r="K286" s="286"/>
      <c r="L286" s="286"/>
      <c r="M286" s="286"/>
      <c r="N286" s="286"/>
      <c r="O286" s="286">
        <v>4</v>
      </c>
      <c r="P286" s="292">
        <v>4</v>
      </c>
      <c r="Q286" s="286">
        <v>0</v>
      </c>
      <c r="R286" s="286"/>
      <c r="S286" s="286"/>
      <c r="T286" s="286">
        <v>4</v>
      </c>
      <c r="U286" s="286"/>
      <c r="V286" s="294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95">
        <v>5</v>
      </c>
      <c r="AL286" s="288"/>
      <c r="AM286" s="287"/>
      <c r="AN286" s="287"/>
      <c r="AO286" s="287"/>
      <c r="AP286" s="286"/>
      <c r="AQ286" s="29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286"/>
      <c r="BB286" s="286"/>
      <c r="BC286" s="286"/>
      <c r="BD286" s="287"/>
      <c r="BE286" s="287"/>
      <c r="BF286" s="287"/>
      <c r="BG286" s="288">
        <v>5</v>
      </c>
      <c r="BH286" s="287"/>
      <c r="BI286" s="287"/>
      <c r="BJ286" s="287">
        <v>5</v>
      </c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  <c r="BU286" s="287">
        <v>4.5</v>
      </c>
      <c r="BV286" s="287"/>
      <c r="BW286" s="287"/>
      <c r="BX286" s="286"/>
      <c r="BY286" s="289"/>
      <c r="BZ286" s="289">
        <v>4.5</v>
      </c>
      <c r="CA286" s="289"/>
      <c r="CB286" s="289"/>
      <c r="CC286" s="289"/>
      <c r="CD286" s="289"/>
      <c r="CE286" s="289"/>
      <c r="CF286" s="289"/>
      <c r="CG286" s="287"/>
      <c r="CH286" s="287"/>
      <c r="CI286" s="287"/>
      <c r="CJ286" s="287"/>
      <c r="CK286" s="287"/>
      <c r="CL286" s="287">
        <v>5.5</v>
      </c>
      <c r="CM286" s="287"/>
      <c r="CN286" s="287"/>
      <c r="CO286" s="287"/>
      <c r="CP286" s="287"/>
      <c r="CQ286" s="287">
        <v>5</v>
      </c>
      <c r="CR286" s="287"/>
      <c r="CS286" s="296">
        <v>5</v>
      </c>
      <c r="CT286" s="6"/>
      <c r="CU286" s="6"/>
      <c r="CV286" s="6"/>
      <c r="CW286" s="6"/>
      <c r="CX286" s="6"/>
      <c r="CY286" s="6"/>
      <c r="CZ286" s="6"/>
      <c r="DA286" s="343">
        <f t="shared" si="8"/>
        <v>3.0833333333333335</v>
      </c>
    </row>
    <row r="287" spans="1:105" ht="20" customHeight="1" x14ac:dyDescent="0.35">
      <c r="A287" s="290" t="s">
        <v>667</v>
      </c>
      <c r="B287" s="270" t="s">
        <v>909</v>
      </c>
      <c r="C287" s="270" t="s">
        <v>229</v>
      </c>
      <c r="D287" s="297" t="s">
        <v>646</v>
      </c>
      <c r="E287" s="270" t="s">
        <v>668</v>
      </c>
      <c r="F287" s="270" t="s">
        <v>347</v>
      </c>
      <c r="G287" s="270"/>
      <c r="H287" s="298">
        <f>42/6*1.08</f>
        <v>7.5600000000000005</v>
      </c>
      <c r="I287" s="292">
        <v>10</v>
      </c>
      <c r="J287" s="286"/>
      <c r="K287" s="286"/>
      <c r="L287" s="286"/>
      <c r="M287" s="286"/>
      <c r="N287" s="286"/>
      <c r="O287" s="286"/>
      <c r="P287" s="286"/>
      <c r="Q287" s="286">
        <v>9</v>
      </c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>
        <v>10</v>
      </c>
      <c r="AF287" s="286"/>
      <c r="AG287" s="286"/>
      <c r="AH287" s="286"/>
      <c r="AI287" s="286"/>
      <c r="AJ287" s="286"/>
      <c r="AK287" s="287"/>
      <c r="AL287" s="288"/>
      <c r="AM287" s="287"/>
      <c r="AN287" s="287"/>
      <c r="AO287" s="287"/>
      <c r="AP287" s="286"/>
      <c r="AQ287" s="29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286"/>
      <c r="BB287" s="286"/>
      <c r="BC287" s="286"/>
      <c r="BD287" s="287"/>
      <c r="BE287" s="287"/>
      <c r="BF287" s="287"/>
      <c r="BG287" s="288">
        <v>9.5</v>
      </c>
      <c r="BH287" s="287"/>
      <c r="BI287" s="287"/>
      <c r="BJ287" s="287"/>
      <c r="BK287" s="287"/>
      <c r="BL287" s="287"/>
      <c r="BM287" s="287"/>
      <c r="BN287" s="287"/>
      <c r="BO287" s="287"/>
      <c r="BP287" s="287"/>
      <c r="BQ287" s="287">
        <v>9</v>
      </c>
      <c r="BR287" s="287"/>
      <c r="BS287" s="287">
        <f>9.9/110*100</f>
        <v>9</v>
      </c>
      <c r="BT287" s="287"/>
      <c r="BU287" s="287">
        <v>9.5</v>
      </c>
      <c r="BV287" s="287"/>
      <c r="BW287" s="287"/>
      <c r="BX287" s="286"/>
      <c r="BY287" s="289"/>
      <c r="BZ287" s="289"/>
      <c r="CA287" s="289"/>
      <c r="CB287" s="289"/>
      <c r="CC287" s="289"/>
      <c r="CD287" s="289"/>
      <c r="CE287" s="289"/>
      <c r="CF287" s="289"/>
      <c r="CG287" s="287"/>
      <c r="CH287" s="287"/>
      <c r="CI287" s="287"/>
      <c r="CJ287" s="287"/>
      <c r="CK287" s="287"/>
      <c r="CL287" s="287"/>
      <c r="CM287" s="287"/>
      <c r="CN287" s="287"/>
      <c r="CO287" s="287"/>
      <c r="CP287" s="287"/>
      <c r="CQ287" s="287">
        <v>10</v>
      </c>
      <c r="CR287" s="287"/>
      <c r="CS287" s="296">
        <v>9</v>
      </c>
      <c r="CT287" s="6"/>
      <c r="CU287" s="6"/>
      <c r="CV287" s="6"/>
      <c r="CW287" s="6"/>
      <c r="CX287" s="6"/>
      <c r="CY287" s="6"/>
      <c r="CZ287" s="6"/>
      <c r="DA287" s="343">
        <f t="shared" si="8"/>
        <v>7.5600000000000005</v>
      </c>
    </row>
    <row r="288" spans="1:105" ht="20" customHeight="1" x14ac:dyDescent="0.35">
      <c r="A288" s="290"/>
      <c r="B288" s="270" t="s">
        <v>1165</v>
      </c>
      <c r="C288" s="270" t="s">
        <v>229</v>
      </c>
      <c r="D288" s="297" t="s">
        <v>646</v>
      </c>
      <c r="E288" s="270" t="s">
        <v>1166</v>
      </c>
      <c r="F288" s="270" t="s">
        <v>347</v>
      </c>
      <c r="G288" s="270"/>
      <c r="H288" s="298">
        <v>7.2</v>
      </c>
      <c r="I288" s="292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7"/>
      <c r="AL288" s="288"/>
      <c r="AM288" s="287"/>
      <c r="AN288" s="287"/>
      <c r="AO288" s="287"/>
      <c r="AP288" s="286"/>
      <c r="AQ288" s="296"/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286"/>
      <c r="BB288" s="286"/>
      <c r="BC288" s="286"/>
      <c r="BD288" s="287"/>
      <c r="BE288" s="287"/>
      <c r="BF288" s="287"/>
      <c r="BG288" s="288">
        <v>10</v>
      </c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  <c r="BU288" s="287">
        <v>9.5</v>
      </c>
      <c r="BV288" s="287"/>
      <c r="BW288" s="287"/>
      <c r="BX288" s="286"/>
      <c r="BY288" s="289"/>
      <c r="BZ288" s="289"/>
      <c r="CA288" s="289"/>
      <c r="CB288" s="289"/>
      <c r="CC288" s="289"/>
      <c r="CD288" s="289"/>
      <c r="CE288" s="289"/>
      <c r="CF288" s="289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302">
        <v>0.8</v>
      </c>
      <c r="CT288" s="6"/>
      <c r="CU288" s="6"/>
      <c r="CV288" s="6"/>
      <c r="CW288" s="6"/>
      <c r="CX288" s="6"/>
      <c r="CY288" s="6"/>
      <c r="CZ288" s="6"/>
      <c r="DA288" s="343">
        <f t="shared" si="8"/>
        <v>7.2</v>
      </c>
    </row>
    <row r="289" spans="1:105" ht="20" customHeight="1" x14ac:dyDescent="0.35">
      <c r="A289" s="290"/>
      <c r="B289" s="270" t="s">
        <v>2136</v>
      </c>
      <c r="C289" s="270" t="s">
        <v>229</v>
      </c>
      <c r="D289" s="297" t="s">
        <v>646</v>
      </c>
      <c r="E289" s="270" t="s">
        <v>2137</v>
      </c>
      <c r="F289" s="270" t="s">
        <v>347</v>
      </c>
      <c r="G289" s="270"/>
      <c r="H289" s="298"/>
      <c r="I289" s="292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7"/>
      <c r="AL289" s="288"/>
      <c r="AM289" s="287"/>
      <c r="AN289" s="287"/>
      <c r="AO289" s="287"/>
      <c r="AP289" s="286"/>
      <c r="AQ289" s="296">
        <v>9.8000000000000007</v>
      </c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286"/>
      <c r="BB289" s="286"/>
      <c r="BC289" s="286"/>
      <c r="BD289" s="287"/>
      <c r="BE289" s="287"/>
      <c r="BF289" s="287"/>
      <c r="BG289" s="288"/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  <c r="BU289" s="287"/>
      <c r="BV289" s="287"/>
      <c r="BW289" s="287"/>
      <c r="BX289" s="286"/>
      <c r="BY289" s="289"/>
      <c r="BZ289" s="289"/>
      <c r="CA289" s="289"/>
      <c r="CB289" s="289"/>
      <c r="CC289" s="289"/>
      <c r="CD289" s="289"/>
      <c r="CE289" s="289"/>
      <c r="CF289" s="289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302"/>
      <c r="CT289" s="6"/>
      <c r="CU289" s="6"/>
      <c r="CV289" s="6"/>
      <c r="CW289" s="6"/>
      <c r="CX289" s="6"/>
      <c r="CY289" s="6"/>
      <c r="CZ289" s="6"/>
      <c r="DA289" s="343"/>
    </row>
    <row r="290" spans="1:105" ht="20" customHeight="1" x14ac:dyDescent="0.35">
      <c r="A290" s="290"/>
      <c r="B290" s="270" t="s">
        <v>910</v>
      </c>
      <c r="C290" s="270" t="s">
        <v>1647</v>
      </c>
      <c r="D290" s="297" t="s">
        <v>646</v>
      </c>
      <c r="E290" s="270"/>
      <c r="F290" s="270" t="s">
        <v>347</v>
      </c>
      <c r="G290" s="270"/>
      <c r="H290" s="298">
        <v>7.2</v>
      </c>
      <c r="I290" s="292">
        <v>9.5</v>
      </c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7"/>
      <c r="AL290" s="288"/>
      <c r="AM290" s="287"/>
      <c r="AN290" s="287"/>
      <c r="AO290" s="287"/>
      <c r="AP290" s="286"/>
      <c r="AQ290" s="29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  <c r="BC290" s="286"/>
      <c r="BD290" s="287"/>
      <c r="BE290" s="287"/>
      <c r="BF290" s="287"/>
      <c r="BG290" s="288">
        <v>10</v>
      </c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>
        <v>10</v>
      </c>
      <c r="BR290" s="287"/>
      <c r="BS290" s="287"/>
      <c r="BT290" s="287"/>
      <c r="BU290" s="287"/>
      <c r="BV290" s="287"/>
      <c r="BW290" s="287"/>
      <c r="BX290" s="286"/>
      <c r="BY290" s="289"/>
      <c r="BZ290" s="289"/>
      <c r="CA290" s="289"/>
      <c r="CB290" s="289"/>
      <c r="CC290" s="289"/>
      <c r="CD290" s="289"/>
      <c r="CE290" s="289"/>
      <c r="CF290" s="289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/>
      <c r="CR290" s="287"/>
      <c r="CS290" s="296">
        <v>9.5</v>
      </c>
      <c r="CT290" s="6"/>
      <c r="CU290" s="6"/>
      <c r="CV290" s="6"/>
      <c r="CW290" s="6"/>
      <c r="CX290" s="6"/>
      <c r="CY290" s="6"/>
      <c r="CZ290" s="6"/>
      <c r="DA290" s="343">
        <f t="shared" si="8"/>
        <v>7.2</v>
      </c>
    </row>
    <row r="291" spans="1:105" ht="20" customHeight="1" x14ac:dyDescent="0.35">
      <c r="A291" s="290">
        <v>520716</v>
      </c>
      <c r="B291" s="270" t="s">
        <v>911</v>
      </c>
      <c r="C291" s="270" t="s">
        <v>268</v>
      </c>
      <c r="D291" s="297" t="s">
        <v>655</v>
      </c>
      <c r="E291" s="270" t="s">
        <v>1530</v>
      </c>
      <c r="F291" s="270" t="s">
        <v>92</v>
      </c>
      <c r="G291" s="270" t="s">
        <v>31</v>
      </c>
      <c r="H291" s="298">
        <v>0.32</v>
      </c>
      <c r="I291" s="292">
        <v>0.8</v>
      </c>
      <c r="J291" s="286"/>
      <c r="K291" s="286"/>
      <c r="L291" s="286"/>
      <c r="M291" s="286"/>
      <c r="N291" s="286"/>
      <c r="O291" s="286"/>
      <c r="P291" s="292">
        <v>0.8</v>
      </c>
      <c r="Q291" s="286"/>
      <c r="R291" s="286"/>
      <c r="S291" s="286">
        <v>0.9</v>
      </c>
      <c r="T291" s="286"/>
      <c r="U291" s="286"/>
      <c r="V291" s="294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95">
        <v>0.8</v>
      </c>
      <c r="AL291" s="288"/>
      <c r="AM291" s="287"/>
      <c r="AN291" s="287"/>
      <c r="AO291" s="287"/>
      <c r="AP291" s="286"/>
      <c r="AQ291" s="296">
        <v>0.8</v>
      </c>
      <c r="AR291" s="286"/>
      <c r="AS291" s="286"/>
      <c r="AT291" s="286"/>
      <c r="AU291" s="286"/>
      <c r="AV291" s="286"/>
      <c r="AW291" s="286"/>
      <c r="AX291" s="286"/>
      <c r="AY291" s="286"/>
      <c r="AZ291" s="286"/>
      <c r="BA291" s="286"/>
      <c r="BB291" s="286"/>
      <c r="BC291" s="286"/>
      <c r="BD291" s="287"/>
      <c r="BE291" s="287"/>
      <c r="BF291" s="287"/>
      <c r="BG291" s="288">
        <v>0.8</v>
      </c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6"/>
      <c r="BY291" s="289"/>
      <c r="BZ291" s="289">
        <v>0.8</v>
      </c>
      <c r="CA291" s="289"/>
      <c r="CB291" s="289"/>
      <c r="CC291" s="289"/>
      <c r="CD291" s="289"/>
      <c r="CE291" s="289"/>
      <c r="CF291" s="289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>
        <v>0.8</v>
      </c>
      <c r="CR291" s="287"/>
      <c r="CS291" s="296">
        <v>0.8</v>
      </c>
      <c r="CT291" s="6"/>
      <c r="CU291" s="6"/>
      <c r="CV291" s="6"/>
      <c r="CW291" s="6"/>
      <c r="CX291" s="6"/>
      <c r="CY291" s="6"/>
      <c r="CZ291" s="6"/>
      <c r="DA291" s="343">
        <f t="shared" si="8"/>
        <v>0.32</v>
      </c>
    </row>
    <row r="292" spans="1:105" ht="20" customHeight="1" x14ac:dyDescent="0.35">
      <c r="A292" s="290" t="s">
        <v>2100</v>
      </c>
      <c r="B292" s="270" t="s">
        <v>911</v>
      </c>
      <c r="C292" s="270" t="s">
        <v>268</v>
      </c>
      <c r="D292" s="297" t="s">
        <v>655</v>
      </c>
      <c r="E292" s="270" t="s">
        <v>1530</v>
      </c>
      <c r="F292" s="270" t="s">
        <v>92</v>
      </c>
      <c r="G292" s="270" t="s">
        <v>31</v>
      </c>
      <c r="H292" s="298">
        <v>0.32</v>
      </c>
      <c r="I292" s="292"/>
      <c r="J292" s="286"/>
      <c r="K292" s="286"/>
      <c r="L292" s="286"/>
      <c r="M292" s="286"/>
      <c r="N292" s="286"/>
      <c r="O292" s="286"/>
      <c r="P292" s="292"/>
      <c r="Q292" s="286"/>
      <c r="R292" s="286"/>
      <c r="S292" s="286"/>
      <c r="T292" s="286"/>
      <c r="U292" s="286"/>
      <c r="V292" s="294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95"/>
      <c r="AL292" s="288"/>
      <c r="AM292" s="287"/>
      <c r="AN292" s="287"/>
      <c r="AO292" s="287"/>
      <c r="AP292" s="286"/>
      <c r="AQ292" s="29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286"/>
      <c r="BB292" s="286"/>
      <c r="BC292" s="286"/>
      <c r="BD292" s="287"/>
      <c r="BE292" s="287"/>
      <c r="BF292" s="287"/>
      <c r="BG292" s="288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  <c r="BU292" s="287"/>
      <c r="BV292" s="287"/>
      <c r="BW292" s="287"/>
      <c r="BX292" s="286"/>
      <c r="BY292" s="289"/>
      <c r="BZ292" s="289"/>
      <c r="CA292" s="289"/>
      <c r="CB292" s="289"/>
      <c r="CC292" s="289"/>
      <c r="CD292" s="289"/>
      <c r="CE292" s="289"/>
      <c r="CF292" s="289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>
        <v>0.8</v>
      </c>
      <c r="CR292" s="287"/>
      <c r="CS292" s="296">
        <v>0.8</v>
      </c>
      <c r="CT292" s="6"/>
      <c r="CU292" s="6"/>
      <c r="CV292" s="6"/>
      <c r="CW292" s="6"/>
      <c r="CX292" s="6"/>
      <c r="CY292" s="6"/>
      <c r="CZ292" s="6"/>
      <c r="DA292" s="343">
        <f>H292</f>
        <v>0.32</v>
      </c>
    </row>
    <row r="293" spans="1:105" ht="20" customHeight="1" x14ac:dyDescent="0.35">
      <c r="A293" s="290" t="s">
        <v>107</v>
      </c>
      <c r="B293" s="270" t="s">
        <v>912</v>
      </c>
      <c r="C293" s="270" t="s">
        <v>270</v>
      </c>
      <c r="D293" s="297" t="s">
        <v>655</v>
      </c>
      <c r="E293" s="270" t="s">
        <v>1937</v>
      </c>
      <c r="F293" s="270" t="s">
        <v>347</v>
      </c>
      <c r="G293" s="270" t="s">
        <v>39</v>
      </c>
      <c r="H293" s="298">
        <v>0.86</v>
      </c>
      <c r="I293" s="292">
        <v>1</v>
      </c>
      <c r="J293" s="292">
        <v>1.5</v>
      </c>
      <c r="K293" s="286"/>
      <c r="L293" s="286"/>
      <c r="M293" s="286"/>
      <c r="N293" s="286"/>
      <c r="O293" s="286"/>
      <c r="P293" s="286"/>
      <c r="Q293" s="286"/>
      <c r="R293" s="286">
        <v>1.2</v>
      </c>
      <c r="S293" s="286">
        <v>1.2</v>
      </c>
      <c r="T293" s="286">
        <v>1.5</v>
      </c>
      <c r="U293" s="286"/>
      <c r="V293" s="293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95">
        <v>1</v>
      </c>
      <c r="AL293" s="288"/>
      <c r="AM293" s="287"/>
      <c r="AN293" s="287"/>
      <c r="AO293" s="287"/>
      <c r="AP293" s="286"/>
      <c r="AQ293" s="296">
        <v>1.5</v>
      </c>
      <c r="AR293" s="292">
        <v>1.5</v>
      </c>
      <c r="AS293" s="286"/>
      <c r="AT293" s="286"/>
      <c r="AU293" s="286"/>
      <c r="AV293" s="286"/>
      <c r="AW293" s="286"/>
      <c r="AX293" s="286"/>
      <c r="AY293" s="286"/>
      <c r="AZ293" s="286"/>
      <c r="BA293" s="286"/>
      <c r="BB293" s="286"/>
      <c r="BC293" s="286">
        <v>1.5</v>
      </c>
      <c r="BD293" s="287"/>
      <c r="BE293" s="287"/>
      <c r="BF293" s="287"/>
      <c r="BG293" s="288">
        <v>1.2</v>
      </c>
      <c r="BH293" s="287"/>
      <c r="BI293" s="287"/>
      <c r="BJ293" s="287"/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  <c r="BU293" s="287"/>
      <c r="BV293" s="287"/>
      <c r="BW293" s="287"/>
      <c r="BX293" s="286"/>
      <c r="BY293" s="289"/>
      <c r="BZ293" s="289"/>
      <c r="CA293" s="289"/>
      <c r="CB293" s="289">
        <v>1.1000000000000001</v>
      </c>
      <c r="CC293" s="289"/>
      <c r="CD293" s="289"/>
      <c r="CE293" s="289"/>
      <c r="CF293" s="289"/>
      <c r="CG293" s="287"/>
      <c r="CH293" s="287"/>
      <c r="CI293" s="287"/>
      <c r="CJ293" s="287"/>
      <c r="CK293" s="287"/>
      <c r="CL293" s="287"/>
      <c r="CM293" s="287"/>
      <c r="CN293" s="287"/>
      <c r="CO293" s="287"/>
      <c r="CP293" s="287"/>
      <c r="CQ293" s="287">
        <v>1</v>
      </c>
      <c r="CR293" s="287"/>
      <c r="CS293" s="296">
        <v>1</v>
      </c>
      <c r="CT293" s="6"/>
      <c r="CU293" s="6"/>
      <c r="CV293" s="6"/>
      <c r="CW293" s="6"/>
      <c r="CX293" s="6"/>
      <c r="CY293" s="6"/>
      <c r="CZ293" s="6"/>
      <c r="DA293" s="343">
        <f t="shared" si="8"/>
        <v>0.86</v>
      </c>
    </row>
    <row r="294" spans="1:105" ht="20" customHeight="1" x14ac:dyDescent="0.35">
      <c r="A294" s="290"/>
      <c r="B294" s="270"/>
      <c r="C294" s="270"/>
      <c r="D294" s="270"/>
      <c r="E294" s="270"/>
      <c r="F294" s="270"/>
      <c r="G294" s="270"/>
      <c r="H294" s="298"/>
      <c r="I294" s="292"/>
      <c r="J294" s="292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>
        <v>30</v>
      </c>
      <c r="U294" s="286"/>
      <c r="V294" s="293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7"/>
      <c r="AL294" s="288"/>
      <c r="AM294" s="287"/>
      <c r="AN294" s="287"/>
      <c r="AO294" s="287"/>
      <c r="AP294" s="286"/>
      <c r="AQ294" s="29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286"/>
      <c r="BB294" s="286"/>
      <c r="BC294" s="286"/>
      <c r="BD294" s="287"/>
      <c r="BE294" s="287"/>
      <c r="BF294" s="287"/>
      <c r="BG294" s="287"/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/>
      <c r="BR294" s="287"/>
      <c r="BS294" s="287"/>
      <c r="BT294" s="287"/>
      <c r="BU294" s="287"/>
      <c r="BV294" s="287"/>
      <c r="BW294" s="287"/>
      <c r="BX294" s="286"/>
      <c r="BY294" s="289"/>
      <c r="BZ294" s="289"/>
      <c r="CA294" s="289"/>
      <c r="CB294" s="289"/>
      <c r="CC294" s="289"/>
      <c r="CD294" s="289"/>
      <c r="CE294" s="289"/>
      <c r="CF294" s="289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/>
      <c r="CR294" s="287"/>
      <c r="CS294" s="6"/>
      <c r="CT294" s="6"/>
      <c r="CU294" s="6"/>
      <c r="CV294" s="6"/>
      <c r="CW294" s="6"/>
      <c r="CX294" s="6"/>
      <c r="CY294" s="6"/>
      <c r="CZ294" s="6"/>
      <c r="DA294" s="343">
        <f t="shared" si="8"/>
        <v>0</v>
      </c>
    </row>
    <row r="295" spans="1:105" ht="20" customHeight="1" x14ac:dyDescent="0.35">
      <c r="A295" s="290"/>
      <c r="B295" s="270" t="s">
        <v>914</v>
      </c>
      <c r="C295" s="270" t="s">
        <v>1754</v>
      </c>
      <c r="D295" s="270" t="s">
        <v>653</v>
      </c>
      <c r="E295" s="270" t="s">
        <v>34</v>
      </c>
      <c r="F295" s="270" t="s">
        <v>1812</v>
      </c>
      <c r="G295" s="270" t="s">
        <v>1755</v>
      </c>
      <c r="H295" s="298">
        <v>60</v>
      </c>
      <c r="I295" s="292"/>
      <c r="J295" s="292">
        <v>71</v>
      </c>
      <c r="K295" s="286"/>
      <c r="L295" s="286"/>
      <c r="M295" s="286"/>
      <c r="N295" s="286"/>
      <c r="O295" s="286"/>
      <c r="P295" s="286"/>
      <c r="Q295" s="286">
        <v>50</v>
      </c>
      <c r="R295" s="286"/>
      <c r="S295" s="286"/>
      <c r="T295" s="286"/>
      <c r="U295" s="286"/>
      <c r="V295" s="293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7"/>
      <c r="AL295" s="288"/>
      <c r="AM295" s="287"/>
      <c r="AN295" s="287"/>
      <c r="AO295" s="287"/>
      <c r="AP295" s="286"/>
      <c r="AQ295" s="29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286"/>
      <c r="BB295" s="286"/>
      <c r="BC295" s="286">
        <v>71</v>
      </c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/>
      <c r="BV295" s="287"/>
      <c r="BW295" s="287"/>
      <c r="BX295" s="286"/>
      <c r="BY295" s="289"/>
      <c r="BZ295" s="289"/>
      <c r="CA295" s="289"/>
      <c r="CB295" s="289"/>
      <c r="CC295" s="289"/>
      <c r="CD295" s="289"/>
      <c r="CE295" s="289"/>
      <c r="CF295" s="289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6"/>
      <c r="CT295" s="6"/>
      <c r="CU295" s="6"/>
      <c r="CV295" s="6"/>
      <c r="CW295" s="6"/>
      <c r="CX295" s="6"/>
      <c r="CY295" s="6"/>
      <c r="CZ295" s="6"/>
      <c r="DA295" s="343">
        <f t="shared" si="8"/>
        <v>60</v>
      </c>
    </row>
    <row r="296" spans="1:105" ht="20" customHeight="1" x14ac:dyDescent="0.35">
      <c r="A296" s="317"/>
      <c r="B296" s="270" t="s">
        <v>915</v>
      </c>
      <c r="C296" s="270" t="s">
        <v>271</v>
      </c>
      <c r="D296" s="297" t="s">
        <v>646</v>
      </c>
      <c r="E296" s="270" t="s">
        <v>34</v>
      </c>
      <c r="F296" s="270" t="s">
        <v>2259</v>
      </c>
      <c r="G296" s="270" t="s">
        <v>39</v>
      </c>
      <c r="H296" s="298">
        <v>6.25</v>
      </c>
      <c r="I296" s="286"/>
      <c r="J296" s="300">
        <v>10</v>
      </c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94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7"/>
      <c r="AL296" s="288"/>
      <c r="AM296" s="287"/>
      <c r="AN296" s="287"/>
      <c r="AO296" s="287"/>
      <c r="AP296" s="286"/>
      <c r="AQ296" s="296"/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  <c r="BC296" s="286"/>
      <c r="BD296" s="287"/>
      <c r="BE296" s="287"/>
      <c r="BF296" s="287"/>
      <c r="BG296" s="288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  <c r="BU296" s="289"/>
      <c r="BV296" s="287"/>
      <c r="BW296" s="287"/>
      <c r="BX296" s="286"/>
      <c r="BY296" s="289"/>
      <c r="BZ296" s="289"/>
      <c r="CA296" s="289"/>
      <c r="CB296" s="289"/>
      <c r="CC296" s="289"/>
      <c r="CD296" s="289"/>
      <c r="CE296" s="289"/>
      <c r="CF296" s="289"/>
      <c r="CG296" s="287"/>
      <c r="CH296" s="287"/>
      <c r="CI296" s="287"/>
      <c r="CJ296" s="287"/>
      <c r="CK296" s="287"/>
      <c r="CL296" s="287"/>
      <c r="CM296" s="286"/>
      <c r="CN296" s="287"/>
      <c r="CO296" s="287"/>
      <c r="CP296" s="287"/>
      <c r="CQ296" s="287"/>
      <c r="CR296" s="287">
        <v>28</v>
      </c>
      <c r="CS296" s="6"/>
      <c r="CT296" s="6"/>
      <c r="CU296" s="6"/>
      <c r="CV296" s="6"/>
      <c r="CW296" s="6"/>
      <c r="CX296" s="6"/>
      <c r="CY296" s="6"/>
      <c r="CZ296" s="6"/>
      <c r="DA296" s="343">
        <f t="shared" si="8"/>
        <v>6.25</v>
      </c>
    </row>
    <row r="297" spans="1:105" ht="20" customHeight="1" x14ac:dyDescent="0.35">
      <c r="A297" s="290" t="s">
        <v>481</v>
      </c>
      <c r="B297" s="270" t="s">
        <v>916</v>
      </c>
      <c r="C297" s="270" t="s">
        <v>1648</v>
      </c>
      <c r="D297" s="297" t="s">
        <v>627</v>
      </c>
      <c r="E297" s="270" t="s">
        <v>34</v>
      </c>
      <c r="F297" s="270" t="s">
        <v>32</v>
      </c>
      <c r="G297" s="270" t="s">
        <v>39</v>
      </c>
      <c r="H297" s="298">
        <f>218/15</f>
        <v>14.533333333333333</v>
      </c>
      <c r="I297" s="300">
        <v>19</v>
      </c>
      <c r="J297" s="292">
        <v>18.5</v>
      </c>
      <c r="K297" s="286"/>
      <c r="L297" s="286"/>
      <c r="M297" s="286"/>
      <c r="N297" s="286"/>
      <c r="O297" s="286"/>
      <c r="P297" s="286"/>
      <c r="Q297" s="286"/>
      <c r="R297" s="286"/>
      <c r="S297" s="286"/>
      <c r="T297" s="286">
        <v>18.5</v>
      </c>
      <c r="U297" s="286"/>
      <c r="V297" s="294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95">
        <v>20</v>
      </c>
      <c r="AL297" s="288"/>
      <c r="AM297" s="287"/>
      <c r="AN297" s="287"/>
      <c r="AO297" s="287">
        <v>18.5</v>
      </c>
      <c r="AP297" s="286"/>
      <c r="AQ297" s="296"/>
      <c r="AR297" s="286"/>
      <c r="AS297" s="286"/>
      <c r="AT297" s="286">
        <v>18.5</v>
      </c>
      <c r="AU297" s="286"/>
      <c r="AV297" s="286"/>
      <c r="AW297" s="286"/>
      <c r="AX297" s="286"/>
      <c r="AY297" s="286"/>
      <c r="AZ297" s="292">
        <v>18.5</v>
      </c>
      <c r="BA297" s="286"/>
      <c r="BB297" s="286"/>
      <c r="BC297" s="286"/>
      <c r="BD297" s="287"/>
      <c r="BE297" s="287"/>
      <c r="BF297" s="287"/>
      <c r="BG297" s="288">
        <v>19</v>
      </c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/>
      <c r="BR297" s="287"/>
      <c r="BS297" s="287"/>
      <c r="BT297" s="287"/>
      <c r="BU297" s="288">
        <v>22</v>
      </c>
      <c r="BV297" s="287"/>
      <c r="BW297" s="287"/>
      <c r="BX297" s="286"/>
      <c r="BY297" s="289">
        <v>0</v>
      </c>
      <c r="BZ297" s="289">
        <v>0</v>
      </c>
      <c r="CA297" s="289"/>
      <c r="CB297" s="289"/>
      <c r="CC297" s="289"/>
      <c r="CD297" s="289"/>
      <c r="CE297" s="289"/>
      <c r="CF297" s="289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>
        <v>20</v>
      </c>
      <c r="CR297" s="307">
        <v>18</v>
      </c>
      <c r="CS297" s="315">
        <v>20</v>
      </c>
      <c r="CT297" s="6"/>
      <c r="CU297" s="6"/>
      <c r="CV297" s="6"/>
      <c r="CW297" s="6"/>
      <c r="CX297" s="6"/>
      <c r="CY297" s="6"/>
      <c r="CZ297" s="6"/>
      <c r="DA297" s="343">
        <f t="shared" si="8"/>
        <v>14.533333333333333</v>
      </c>
    </row>
    <row r="298" spans="1:105" ht="20" customHeight="1" x14ac:dyDescent="0.35">
      <c r="A298" s="309"/>
      <c r="B298" s="270" t="s">
        <v>917</v>
      </c>
      <c r="C298" s="270" t="s">
        <v>274</v>
      </c>
      <c r="D298" s="270"/>
      <c r="E298" s="270" t="s">
        <v>34</v>
      </c>
      <c r="F298" s="270" t="s">
        <v>49</v>
      </c>
      <c r="G298" s="270" t="s">
        <v>38</v>
      </c>
      <c r="H298" s="298">
        <v>8.3000000000000007</v>
      </c>
      <c r="I298" s="286"/>
      <c r="J298" s="286"/>
      <c r="K298" s="286"/>
      <c r="L298" s="286"/>
      <c r="M298" s="286"/>
      <c r="N298" s="286"/>
      <c r="O298" s="286">
        <v>10</v>
      </c>
      <c r="P298" s="292">
        <v>10</v>
      </c>
      <c r="Q298" s="286">
        <v>9</v>
      </c>
      <c r="R298" s="286">
        <v>9</v>
      </c>
      <c r="S298" s="286">
        <v>9</v>
      </c>
      <c r="T298" s="286"/>
      <c r="U298" s="286"/>
      <c r="V298" s="286"/>
      <c r="W298" s="286"/>
      <c r="X298" s="286"/>
      <c r="Y298" s="286"/>
      <c r="Z298" s="286"/>
      <c r="AA298" s="286">
        <v>10</v>
      </c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7"/>
      <c r="AL298" s="288"/>
      <c r="AM298" s="287"/>
      <c r="AN298" s="287"/>
      <c r="AO298" s="287"/>
      <c r="AP298" s="286"/>
      <c r="AQ298" s="296"/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286"/>
      <c r="BB298" s="286"/>
      <c r="BC298" s="286"/>
      <c r="BD298" s="287"/>
      <c r="BE298" s="287"/>
      <c r="BF298" s="287"/>
      <c r="BG298" s="288">
        <v>11.5</v>
      </c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  <c r="BU298" s="287"/>
      <c r="BV298" s="287"/>
      <c r="BW298" s="287"/>
      <c r="BX298" s="286"/>
      <c r="BY298" s="289"/>
      <c r="BZ298" s="289">
        <v>9</v>
      </c>
      <c r="CA298" s="289"/>
      <c r="CB298" s="289"/>
      <c r="CC298" s="289"/>
      <c r="CD298" s="289"/>
      <c r="CE298" s="289"/>
      <c r="CF298" s="289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/>
      <c r="CR298" s="287"/>
      <c r="CS298" s="6"/>
      <c r="CT298" s="6"/>
      <c r="CU298" s="6"/>
      <c r="CV298" s="6"/>
      <c r="CW298" s="6"/>
      <c r="CX298" s="6"/>
      <c r="CY298" s="6"/>
      <c r="CZ298" s="6"/>
      <c r="DA298" s="343">
        <f t="shared" si="8"/>
        <v>8.3000000000000007</v>
      </c>
    </row>
    <row r="299" spans="1:105" ht="20" customHeight="1" x14ac:dyDescent="0.35">
      <c r="A299" s="301"/>
      <c r="B299" s="270" t="s">
        <v>918</v>
      </c>
      <c r="C299" s="270" t="s">
        <v>275</v>
      </c>
      <c r="D299" s="270"/>
      <c r="E299" s="270" t="s">
        <v>34</v>
      </c>
      <c r="F299" s="270" t="s">
        <v>49</v>
      </c>
      <c r="G299" s="270" t="s">
        <v>38</v>
      </c>
      <c r="H299" s="298">
        <v>8</v>
      </c>
      <c r="I299" s="286"/>
      <c r="J299" s="286"/>
      <c r="K299" s="286"/>
      <c r="L299" s="286"/>
      <c r="M299" s="286"/>
      <c r="N299" s="286"/>
      <c r="O299" s="286">
        <v>8</v>
      </c>
      <c r="P299" s="286"/>
      <c r="Q299" s="286">
        <v>8</v>
      </c>
      <c r="R299" s="286">
        <v>8</v>
      </c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7"/>
      <c r="AL299" s="288"/>
      <c r="AM299" s="287"/>
      <c r="AN299" s="287"/>
      <c r="AO299" s="287"/>
      <c r="AP299" s="286"/>
      <c r="AQ299" s="29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286"/>
      <c r="BB299" s="286"/>
      <c r="BC299" s="286"/>
      <c r="BD299" s="287"/>
      <c r="BE299" s="287"/>
      <c r="BF299" s="287"/>
      <c r="BG299" s="288">
        <v>11</v>
      </c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  <c r="BU299" s="287"/>
      <c r="BV299" s="287"/>
      <c r="BW299" s="287"/>
      <c r="BX299" s="286"/>
      <c r="BY299" s="289"/>
      <c r="BZ299" s="289"/>
      <c r="CA299" s="289"/>
      <c r="CB299" s="289"/>
      <c r="CC299" s="289"/>
      <c r="CD299" s="289"/>
      <c r="CE299" s="289"/>
      <c r="CF299" s="289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/>
      <c r="CR299" s="287"/>
      <c r="CS299" s="6"/>
      <c r="CT299" s="6"/>
      <c r="CU299" s="6"/>
      <c r="CV299" s="6"/>
      <c r="CW299" s="6"/>
      <c r="CX299" s="6"/>
      <c r="CY299" s="6"/>
      <c r="CZ299" s="6"/>
      <c r="DA299" s="343">
        <f t="shared" si="8"/>
        <v>8</v>
      </c>
    </row>
    <row r="300" spans="1:105" ht="20" customHeight="1" x14ac:dyDescent="0.35">
      <c r="A300" s="301"/>
      <c r="B300" s="270" t="s">
        <v>919</v>
      </c>
      <c r="C300" s="270" t="s">
        <v>920</v>
      </c>
      <c r="D300" s="270" t="s">
        <v>653</v>
      </c>
      <c r="E300" s="270" t="s">
        <v>34</v>
      </c>
      <c r="F300" s="270" t="s">
        <v>49</v>
      </c>
      <c r="G300" s="270" t="s">
        <v>38</v>
      </c>
      <c r="H300" s="298">
        <v>12</v>
      </c>
      <c r="I300" s="286"/>
      <c r="J300" s="292">
        <v>13</v>
      </c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7"/>
      <c r="AL300" s="288"/>
      <c r="AM300" s="287"/>
      <c r="AN300" s="287"/>
      <c r="AO300" s="287"/>
      <c r="AP300" s="286"/>
      <c r="AQ300" s="296"/>
      <c r="AR300" s="286"/>
      <c r="AS300" s="286"/>
      <c r="AT300" s="286"/>
      <c r="AU300" s="286"/>
      <c r="AV300" s="286"/>
      <c r="AW300" s="286"/>
      <c r="AX300" s="286"/>
      <c r="AY300" s="286"/>
      <c r="AZ300" s="286"/>
      <c r="BA300" s="286"/>
      <c r="BB300" s="286"/>
      <c r="BC300" s="286"/>
      <c r="BD300" s="287"/>
      <c r="BE300" s="287"/>
      <c r="BF300" s="287"/>
      <c r="BG300" s="287"/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  <c r="BU300" s="287"/>
      <c r="BV300" s="287"/>
      <c r="BW300" s="287"/>
      <c r="BX300" s="286"/>
      <c r="BY300" s="289"/>
      <c r="BZ300" s="289"/>
      <c r="CA300" s="289"/>
      <c r="CB300" s="289"/>
      <c r="CC300" s="289"/>
      <c r="CD300" s="289"/>
      <c r="CE300" s="289"/>
      <c r="CF300" s="289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/>
      <c r="CR300" s="287"/>
      <c r="CS300" s="6"/>
      <c r="CT300" s="6"/>
      <c r="CU300" s="6"/>
      <c r="CV300" s="6"/>
      <c r="CW300" s="6"/>
      <c r="CX300" s="6"/>
      <c r="CY300" s="6"/>
      <c r="CZ300" s="6"/>
      <c r="DA300" s="343">
        <f t="shared" si="8"/>
        <v>12</v>
      </c>
    </row>
    <row r="301" spans="1:105" ht="20" customHeight="1" x14ac:dyDescent="0.35">
      <c r="A301" s="301"/>
      <c r="B301" s="270" t="s">
        <v>921</v>
      </c>
      <c r="C301" s="270" t="s">
        <v>922</v>
      </c>
      <c r="D301" s="320"/>
      <c r="E301" s="320"/>
      <c r="F301" s="270" t="s">
        <v>49</v>
      </c>
      <c r="G301" s="270" t="s">
        <v>38</v>
      </c>
      <c r="H301" s="298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7"/>
      <c r="AL301" s="288"/>
      <c r="AM301" s="287"/>
      <c r="AN301" s="287"/>
      <c r="AO301" s="287"/>
      <c r="AP301" s="286"/>
      <c r="AQ301" s="29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286"/>
      <c r="BB301" s="286"/>
      <c r="BC301" s="286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  <c r="BU301" s="287"/>
      <c r="BV301" s="287"/>
      <c r="BW301" s="287"/>
      <c r="BX301" s="286"/>
      <c r="BY301" s="289"/>
      <c r="BZ301" s="289"/>
      <c r="CA301" s="289"/>
      <c r="CB301" s="289"/>
      <c r="CC301" s="289"/>
      <c r="CD301" s="289"/>
      <c r="CE301" s="289"/>
      <c r="CF301" s="289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6"/>
      <c r="CT301" s="6"/>
      <c r="CU301" s="6"/>
      <c r="CV301" s="6"/>
      <c r="CW301" s="6"/>
      <c r="CX301" s="6"/>
      <c r="CY301" s="6"/>
      <c r="CZ301" s="6"/>
      <c r="DA301" s="343">
        <f t="shared" si="8"/>
        <v>0</v>
      </c>
    </row>
    <row r="302" spans="1:105" ht="20" customHeight="1" x14ac:dyDescent="0.35">
      <c r="A302" s="301"/>
      <c r="B302" s="270" t="s">
        <v>923</v>
      </c>
      <c r="C302" s="270" t="s">
        <v>924</v>
      </c>
      <c r="D302" s="270" t="s">
        <v>653</v>
      </c>
      <c r="E302" s="320"/>
      <c r="F302" s="270" t="s">
        <v>49</v>
      </c>
      <c r="G302" s="270" t="s">
        <v>38</v>
      </c>
      <c r="H302" s="298">
        <v>48</v>
      </c>
      <c r="I302" s="286"/>
      <c r="J302" s="292">
        <v>60</v>
      </c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7"/>
      <c r="AL302" s="288"/>
      <c r="AM302" s="287"/>
      <c r="AN302" s="287"/>
      <c r="AO302" s="287"/>
      <c r="AP302" s="286"/>
      <c r="AQ302" s="29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7"/>
      <c r="BE302" s="287"/>
      <c r="BF302" s="287"/>
      <c r="BG302" s="287"/>
      <c r="BH302" s="287">
        <v>60</v>
      </c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  <c r="BU302" s="287"/>
      <c r="BV302" s="287"/>
      <c r="BW302" s="287"/>
      <c r="BX302" s="286"/>
      <c r="BY302" s="289"/>
      <c r="BZ302" s="289"/>
      <c r="CA302" s="289"/>
      <c r="CB302" s="289"/>
      <c r="CC302" s="289"/>
      <c r="CD302" s="289"/>
      <c r="CE302" s="289"/>
      <c r="CF302" s="289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6"/>
      <c r="CT302" s="6"/>
      <c r="CU302" s="6"/>
      <c r="CV302" s="6"/>
      <c r="CW302" s="6"/>
      <c r="CX302" s="6"/>
      <c r="CY302" s="6"/>
      <c r="CZ302" s="6"/>
      <c r="DA302" s="343">
        <f t="shared" si="8"/>
        <v>48</v>
      </c>
    </row>
    <row r="303" spans="1:105" ht="20" customHeight="1" x14ac:dyDescent="0.35">
      <c r="A303" s="301"/>
      <c r="B303" s="270" t="s">
        <v>925</v>
      </c>
      <c r="C303" s="270" t="s">
        <v>926</v>
      </c>
      <c r="D303" s="320"/>
      <c r="E303" s="320"/>
      <c r="F303" s="270" t="s">
        <v>49</v>
      </c>
      <c r="G303" s="270" t="s">
        <v>38</v>
      </c>
      <c r="H303" s="298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7"/>
      <c r="AL303" s="288"/>
      <c r="AM303" s="287"/>
      <c r="AN303" s="287"/>
      <c r="AO303" s="287"/>
      <c r="AP303" s="286"/>
      <c r="AQ303" s="29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286"/>
      <c r="BB303" s="286"/>
      <c r="BC303" s="286"/>
      <c r="BD303" s="287"/>
      <c r="BE303" s="287"/>
      <c r="BF303" s="287"/>
      <c r="BG303" s="287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  <c r="BU303" s="287"/>
      <c r="BV303" s="287"/>
      <c r="BW303" s="287"/>
      <c r="BX303" s="286"/>
      <c r="BY303" s="289"/>
      <c r="BZ303" s="289"/>
      <c r="CA303" s="289"/>
      <c r="CB303" s="289"/>
      <c r="CC303" s="289"/>
      <c r="CD303" s="289"/>
      <c r="CE303" s="289"/>
      <c r="CF303" s="289"/>
      <c r="CG303" s="287"/>
      <c r="CH303" s="287"/>
      <c r="CI303" s="287"/>
      <c r="CJ303" s="287"/>
      <c r="CK303" s="287"/>
      <c r="CL303" s="287"/>
      <c r="CM303" s="287"/>
      <c r="CN303" s="287"/>
      <c r="CO303" s="287"/>
      <c r="CP303" s="287"/>
      <c r="CQ303" s="287"/>
      <c r="CR303" s="287"/>
      <c r="CS303" s="6"/>
      <c r="CT303" s="6"/>
      <c r="CU303" s="6"/>
      <c r="CV303" s="6"/>
      <c r="CW303" s="6"/>
      <c r="CX303" s="6"/>
      <c r="CY303" s="6"/>
      <c r="CZ303" s="6"/>
      <c r="DA303" s="343">
        <f t="shared" si="8"/>
        <v>0</v>
      </c>
    </row>
    <row r="304" spans="1:105" ht="20" customHeight="1" x14ac:dyDescent="0.35">
      <c r="A304" s="301"/>
      <c r="B304" s="270" t="s">
        <v>927</v>
      </c>
      <c r="C304" s="270" t="s">
        <v>928</v>
      </c>
      <c r="D304" s="320"/>
      <c r="E304" s="320"/>
      <c r="F304" s="270" t="s">
        <v>49</v>
      </c>
      <c r="G304" s="270" t="s">
        <v>38</v>
      </c>
      <c r="H304" s="298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7"/>
      <c r="AL304" s="288"/>
      <c r="AM304" s="287"/>
      <c r="AN304" s="287"/>
      <c r="AO304" s="287"/>
      <c r="AP304" s="286"/>
      <c r="AQ304" s="296"/>
      <c r="AR304" s="286"/>
      <c r="AS304" s="286"/>
      <c r="AT304" s="286"/>
      <c r="AU304" s="286"/>
      <c r="AV304" s="286"/>
      <c r="AW304" s="286"/>
      <c r="AX304" s="286"/>
      <c r="AY304" s="286"/>
      <c r="AZ304" s="286"/>
      <c r="BA304" s="286"/>
      <c r="BB304" s="286"/>
      <c r="BC304" s="286"/>
      <c r="BD304" s="287"/>
      <c r="BE304" s="287"/>
      <c r="BF304" s="287"/>
      <c r="BG304" s="287"/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  <c r="BU304" s="287"/>
      <c r="BV304" s="287"/>
      <c r="BW304" s="287"/>
      <c r="BX304" s="286"/>
      <c r="BY304" s="289"/>
      <c r="BZ304" s="289"/>
      <c r="CA304" s="289"/>
      <c r="CB304" s="289"/>
      <c r="CC304" s="289"/>
      <c r="CD304" s="289"/>
      <c r="CE304" s="289"/>
      <c r="CF304" s="289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/>
      <c r="CR304" s="287"/>
      <c r="CS304" s="6"/>
      <c r="CT304" s="6"/>
      <c r="CU304" s="6"/>
      <c r="CV304" s="6"/>
      <c r="CW304" s="6"/>
      <c r="CX304" s="6"/>
      <c r="CY304" s="6"/>
      <c r="CZ304" s="6"/>
      <c r="DA304" s="343">
        <f t="shared" si="8"/>
        <v>0</v>
      </c>
    </row>
    <row r="305" spans="1:105" ht="20" customHeight="1" x14ac:dyDescent="0.35">
      <c r="A305" s="301"/>
      <c r="B305" s="270" t="s">
        <v>929</v>
      </c>
      <c r="C305" s="270" t="s">
        <v>930</v>
      </c>
      <c r="D305" s="320"/>
      <c r="E305" s="320"/>
      <c r="F305" s="270" t="s">
        <v>49</v>
      </c>
      <c r="G305" s="270" t="s">
        <v>38</v>
      </c>
      <c r="H305" s="298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7"/>
      <c r="AL305" s="288"/>
      <c r="AM305" s="287"/>
      <c r="AN305" s="287"/>
      <c r="AO305" s="287"/>
      <c r="AP305" s="286"/>
      <c r="AQ305" s="29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286"/>
      <c r="BB305" s="286"/>
      <c r="BC305" s="286"/>
      <c r="BD305" s="287"/>
      <c r="BE305" s="287"/>
      <c r="BF305" s="287"/>
      <c r="BG305" s="287"/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  <c r="BU305" s="287"/>
      <c r="BV305" s="287"/>
      <c r="BW305" s="287"/>
      <c r="BX305" s="286"/>
      <c r="BY305" s="289"/>
      <c r="BZ305" s="289"/>
      <c r="CA305" s="289"/>
      <c r="CB305" s="289"/>
      <c r="CC305" s="289"/>
      <c r="CD305" s="289"/>
      <c r="CE305" s="289"/>
      <c r="CF305" s="289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6"/>
      <c r="CT305" s="6"/>
      <c r="CU305" s="6"/>
      <c r="CV305" s="6"/>
      <c r="CW305" s="6"/>
      <c r="CX305" s="6"/>
      <c r="CY305" s="6"/>
      <c r="CZ305" s="6"/>
      <c r="DA305" s="343">
        <f t="shared" si="8"/>
        <v>0</v>
      </c>
    </row>
    <row r="306" spans="1:105" ht="20" customHeight="1" x14ac:dyDescent="0.35">
      <c r="A306" s="301"/>
      <c r="B306" s="270" t="s">
        <v>931</v>
      </c>
      <c r="C306" s="270" t="s">
        <v>932</v>
      </c>
      <c r="D306" s="320"/>
      <c r="E306" s="320"/>
      <c r="F306" s="270" t="s">
        <v>49</v>
      </c>
      <c r="G306" s="270" t="s">
        <v>38</v>
      </c>
      <c r="H306" s="298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7"/>
      <c r="AL306" s="288"/>
      <c r="AM306" s="287"/>
      <c r="AN306" s="287"/>
      <c r="AO306" s="287"/>
      <c r="AP306" s="286"/>
      <c r="AQ306" s="29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286"/>
      <c r="BB306" s="286"/>
      <c r="BC306" s="286"/>
      <c r="BD306" s="287"/>
      <c r="BE306" s="287"/>
      <c r="BF306" s="287"/>
      <c r="BG306" s="287"/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  <c r="BU306" s="287"/>
      <c r="BV306" s="287"/>
      <c r="BW306" s="287"/>
      <c r="BX306" s="286"/>
      <c r="BY306" s="289"/>
      <c r="BZ306" s="289"/>
      <c r="CA306" s="289"/>
      <c r="CB306" s="289"/>
      <c r="CC306" s="289"/>
      <c r="CD306" s="289"/>
      <c r="CE306" s="289"/>
      <c r="CF306" s="289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6"/>
      <c r="CT306" s="6"/>
      <c r="CU306" s="6"/>
      <c r="CV306" s="6"/>
      <c r="CW306" s="6"/>
      <c r="CX306" s="6"/>
      <c r="CY306" s="6"/>
      <c r="CZ306" s="6"/>
      <c r="DA306" s="343">
        <f t="shared" ref="DA306:DA390" si="10">H306</f>
        <v>0</v>
      </c>
    </row>
    <row r="307" spans="1:105" ht="20" customHeight="1" x14ac:dyDescent="0.35">
      <c r="A307" s="301"/>
      <c r="B307" s="270" t="s">
        <v>933</v>
      </c>
      <c r="C307" s="270" t="s">
        <v>934</v>
      </c>
      <c r="D307" s="320"/>
      <c r="E307" s="320"/>
      <c r="F307" s="270" t="s">
        <v>49</v>
      </c>
      <c r="G307" s="270" t="s">
        <v>38</v>
      </c>
      <c r="H307" s="298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7"/>
      <c r="AL307" s="288"/>
      <c r="AM307" s="287"/>
      <c r="AN307" s="287"/>
      <c r="AO307" s="287"/>
      <c r="AP307" s="286"/>
      <c r="AQ307" s="29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286"/>
      <c r="BB307" s="286"/>
      <c r="BC307" s="286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  <c r="BU307" s="287"/>
      <c r="BV307" s="287"/>
      <c r="BW307" s="287"/>
      <c r="BX307" s="286"/>
      <c r="BY307" s="289"/>
      <c r="BZ307" s="289"/>
      <c r="CA307" s="289"/>
      <c r="CB307" s="289"/>
      <c r="CC307" s="289"/>
      <c r="CD307" s="289"/>
      <c r="CE307" s="289"/>
      <c r="CF307" s="289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6"/>
      <c r="CT307" s="6"/>
      <c r="CU307" s="6"/>
      <c r="CV307" s="6"/>
      <c r="CW307" s="6"/>
      <c r="CX307" s="6"/>
      <c r="CY307" s="6"/>
      <c r="CZ307" s="6"/>
      <c r="DA307" s="343">
        <f t="shared" si="10"/>
        <v>0</v>
      </c>
    </row>
    <row r="308" spans="1:105" ht="20" customHeight="1" x14ac:dyDescent="0.35">
      <c r="A308" s="301"/>
      <c r="B308" s="270" t="s">
        <v>2139</v>
      </c>
      <c r="C308" s="270" t="s">
        <v>934</v>
      </c>
      <c r="D308" s="320"/>
      <c r="E308" s="320" t="s">
        <v>34</v>
      </c>
      <c r="F308" s="270" t="s">
        <v>2044</v>
      </c>
      <c r="G308" s="270" t="s">
        <v>38</v>
      </c>
      <c r="H308" s="298"/>
      <c r="I308" s="286"/>
      <c r="J308" s="286">
        <v>2</v>
      </c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7"/>
      <c r="AL308" s="288"/>
      <c r="AM308" s="287"/>
      <c r="AN308" s="287"/>
      <c r="AO308" s="287"/>
      <c r="AP308" s="286"/>
      <c r="AQ308" s="29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  <c r="BC308" s="286"/>
      <c r="BD308" s="287"/>
      <c r="BE308" s="287"/>
      <c r="BF308" s="287"/>
      <c r="BG308" s="287"/>
      <c r="BH308" s="286">
        <v>2</v>
      </c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  <c r="BU308" s="287"/>
      <c r="BV308" s="287"/>
      <c r="BW308" s="287"/>
      <c r="BX308" s="286"/>
      <c r="BY308" s="289"/>
      <c r="BZ308" s="289"/>
      <c r="CA308" s="289"/>
      <c r="CB308" s="289"/>
      <c r="CC308" s="289"/>
      <c r="CD308" s="289"/>
      <c r="CE308" s="289"/>
      <c r="CF308" s="289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6"/>
      <c r="CT308" s="6"/>
      <c r="CU308" s="6"/>
      <c r="CV308" s="6"/>
      <c r="CW308" s="6"/>
      <c r="CX308" s="6"/>
      <c r="CY308" s="6"/>
      <c r="CZ308" s="6"/>
      <c r="DA308" s="343">
        <f>H308</f>
        <v>0</v>
      </c>
    </row>
    <row r="309" spans="1:105" ht="20" customHeight="1" x14ac:dyDescent="0.35">
      <c r="A309" s="301"/>
      <c r="B309" s="270" t="s">
        <v>935</v>
      </c>
      <c r="C309" s="270" t="s">
        <v>2138</v>
      </c>
      <c r="D309" s="320"/>
      <c r="E309" s="320" t="s">
        <v>34</v>
      </c>
      <c r="F309" s="270" t="s">
        <v>49</v>
      </c>
      <c r="G309" s="270" t="s">
        <v>38</v>
      </c>
      <c r="H309" s="298">
        <f>14</f>
        <v>14</v>
      </c>
      <c r="I309" s="286"/>
      <c r="J309" s="286">
        <v>20</v>
      </c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7"/>
      <c r="AL309" s="288"/>
      <c r="AM309" s="287"/>
      <c r="AN309" s="287"/>
      <c r="AO309" s="287"/>
      <c r="AP309" s="286"/>
      <c r="AQ309" s="29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286"/>
      <c r="BB309" s="286"/>
      <c r="BC309" s="286"/>
      <c r="BD309" s="287"/>
      <c r="BE309" s="287"/>
      <c r="BF309" s="287"/>
      <c r="BG309" s="287"/>
      <c r="BH309" s="286">
        <v>20</v>
      </c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6"/>
      <c r="BY309" s="289"/>
      <c r="BZ309" s="289"/>
      <c r="CA309" s="289"/>
      <c r="CB309" s="289"/>
      <c r="CC309" s="289"/>
      <c r="CD309" s="289"/>
      <c r="CE309" s="289"/>
      <c r="CF309" s="289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6"/>
      <c r="CT309" s="6"/>
      <c r="CU309" s="6"/>
      <c r="CV309" s="6"/>
      <c r="CW309" s="6"/>
      <c r="CX309" s="6"/>
      <c r="CY309" s="6"/>
      <c r="CZ309" s="6"/>
      <c r="DA309" s="343">
        <f t="shared" si="10"/>
        <v>14</v>
      </c>
    </row>
    <row r="310" spans="1:105" ht="20" customHeight="1" x14ac:dyDescent="0.35">
      <c r="A310" s="301"/>
      <c r="B310" s="270" t="s">
        <v>936</v>
      </c>
      <c r="C310" s="270" t="s">
        <v>937</v>
      </c>
      <c r="D310" s="320"/>
      <c r="E310" s="320"/>
      <c r="F310" s="270" t="s">
        <v>49</v>
      </c>
      <c r="G310" s="270" t="s">
        <v>38</v>
      </c>
      <c r="H310" s="298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7"/>
      <c r="AL310" s="288"/>
      <c r="AM310" s="287"/>
      <c r="AN310" s="287"/>
      <c r="AO310" s="287"/>
      <c r="AP310" s="286"/>
      <c r="AQ310" s="29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286"/>
      <c r="BB310" s="286"/>
      <c r="BC310" s="286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  <c r="BU310" s="287"/>
      <c r="BV310" s="287"/>
      <c r="BW310" s="287"/>
      <c r="BX310" s="286"/>
      <c r="BY310" s="289"/>
      <c r="BZ310" s="289"/>
      <c r="CA310" s="289"/>
      <c r="CB310" s="289"/>
      <c r="CC310" s="289"/>
      <c r="CD310" s="289"/>
      <c r="CE310" s="289"/>
      <c r="CF310" s="289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6"/>
      <c r="CT310" s="6"/>
      <c r="CU310" s="6"/>
      <c r="CV310" s="6"/>
      <c r="CW310" s="6"/>
      <c r="CX310" s="6"/>
      <c r="CY310" s="6"/>
      <c r="CZ310" s="6"/>
      <c r="DA310" s="343">
        <f t="shared" si="10"/>
        <v>0</v>
      </c>
    </row>
    <row r="311" spans="1:105" ht="20" customHeight="1" x14ac:dyDescent="0.35">
      <c r="A311" s="301"/>
      <c r="B311" s="270" t="s">
        <v>938</v>
      </c>
      <c r="C311" s="270" t="s">
        <v>939</v>
      </c>
      <c r="D311" s="320"/>
      <c r="E311" s="320"/>
      <c r="F311" s="270" t="s">
        <v>49</v>
      </c>
      <c r="G311" s="270" t="s">
        <v>38</v>
      </c>
      <c r="H311" s="298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7"/>
      <c r="AL311" s="288"/>
      <c r="AM311" s="287"/>
      <c r="AN311" s="287"/>
      <c r="AO311" s="287"/>
      <c r="AP311" s="286"/>
      <c r="AQ311" s="29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286"/>
      <c r="BB311" s="286"/>
      <c r="BC311" s="286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  <c r="BU311" s="287"/>
      <c r="BV311" s="287"/>
      <c r="BW311" s="287"/>
      <c r="BX311" s="286"/>
      <c r="BY311" s="289"/>
      <c r="BZ311" s="289"/>
      <c r="CA311" s="289"/>
      <c r="CB311" s="289"/>
      <c r="CC311" s="289"/>
      <c r="CD311" s="289"/>
      <c r="CE311" s="289"/>
      <c r="CF311" s="289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6"/>
      <c r="CT311" s="6"/>
      <c r="CU311" s="6"/>
      <c r="CV311" s="6"/>
      <c r="CW311" s="6"/>
      <c r="CX311" s="6"/>
      <c r="CY311" s="6"/>
      <c r="CZ311" s="6"/>
      <c r="DA311" s="343">
        <f t="shared" si="10"/>
        <v>0</v>
      </c>
    </row>
    <row r="312" spans="1:105" ht="20" customHeight="1" x14ac:dyDescent="0.35">
      <c r="A312" s="301"/>
      <c r="B312" s="270" t="s">
        <v>940</v>
      </c>
      <c r="C312" s="270" t="s">
        <v>1650</v>
      </c>
      <c r="D312" s="320" t="s">
        <v>653</v>
      </c>
      <c r="E312" s="320" t="s">
        <v>1503</v>
      </c>
      <c r="F312" s="270" t="s">
        <v>576</v>
      </c>
      <c r="G312" s="270" t="s">
        <v>1504</v>
      </c>
      <c r="H312" s="298">
        <f>4.5*25</f>
        <v>112.5</v>
      </c>
      <c r="I312" s="286"/>
      <c r="J312" s="292">
        <f>5*25</f>
        <v>125</v>
      </c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7"/>
      <c r="AL312" s="288"/>
      <c r="AM312" s="287"/>
      <c r="AN312" s="287"/>
      <c r="AO312" s="287"/>
      <c r="AP312" s="286"/>
      <c r="AQ312" s="29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286"/>
      <c r="BB312" s="286"/>
      <c r="BC312" s="286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  <c r="BU312" s="287"/>
      <c r="BV312" s="287"/>
      <c r="BW312" s="287"/>
      <c r="BX312" s="286"/>
      <c r="BY312" s="289"/>
      <c r="BZ312" s="289"/>
      <c r="CA312" s="289"/>
      <c r="CB312" s="289"/>
      <c r="CC312" s="289"/>
      <c r="CD312" s="289"/>
      <c r="CE312" s="289"/>
      <c r="CF312" s="289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6"/>
      <c r="CT312" s="6"/>
      <c r="CU312" s="6"/>
      <c r="CV312" s="6"/>
      <c r="CW312" s="6"/>
      <c r="CX312" s="6"/>
      <c r="CY312" s="6"/>
      <c r="CZ312" s="6"/>
      <c r="DA312" s="343">
        <f t="shared" si="10"/>
        <v>112.5</v>
      </c>
    </row>
    <row r="313" spans="1:105" ht="20" customHeight="1" x14ac:dyDescent="0.35">
      <c r="A313" s="301"/>
      <c r="B313" s="270" t="s">
        <v>1825</v>
      </c>
      <c r="C313" s="270" t="s">
        <v>1650</v>
      </c>
      <c r="D313" s="320" t="s">
        <v>653</v>
      </c>
      <c r="E313" s="320" t="s">
        <v>1503</v>
      </c>
      <c r="F313" s="270" t="s">
        <v>1824</v>
      </c>
      <c r="G313" s="270" t="s">
        <v>1504</v>
      </c>
      <c r="H313" s="298">
        <f>4.5*3</f>
        <v>13.5</v>
      </c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7"/>
      <c r="AL313" s="288"/>
      <c r="AM313" s="287"/>
      <c r="AN313" s="287"/>
      <c r="AO313" s="287"/>
      <c r="AP313" s="286"/>
      <c r="AQ313" s="29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286"/>
      <c r="BB313" s="286"/>
      <c r="BC313" s="286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  <c r="BU313" s="287"/>
      <c r="BV313" s="287"/>
      <c r="BW313" s="287"/>
      <c r="BX313" s="286"/>
      <c r="BY313" s="289"/>
      <c r="BZ313" s="289"/>
      <c r="CA313" s="289"/>
      <c r="CB313" s="289"/>
      <c r="CC313" s="289"/>
      <c r="CD313" s="289"/>
      <c r="CE313" s="289"/>
      <c r="CF313" s="289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6"/>
      <c r="CT313" s="6"/>
      <c r="CU313" s="6"/>
      <c r="CV313" s="6"/>
      <c r="CW313" s="6"/>
      <c r="CX313" s="6"/>
      <c r="CY313" s="6"/>
      <c r="CZ313" s="6"/>
      <c r="DA313" s="343">
        <f t="shared" si="10"/>
        <v>13.5</v>
      </c>
    </row>
    <row r="314" spans="1:105" ht="20" customHeight="1" x14ac:dyDescent="0.35">
      <c r="A314" s="301"/>
      <c r="B314" s="270" t="s">
        <v>1094</v>
      </c>
      <c r="C314" s="270" t="s">
        <v>1651</v>
      </c>
      <c r="D314" s="320" t="s">
        <v>535</v>
      </c>
      <c r="E314" s="320"/>
      <c r="F314" s="270" t="s">
        <v>579</v>
      </c>
      <c r="G314" s="270" t="s">
        <v>156</v>
      </c>
      <c r="H314" s="298">
        <v>37.5</v>
      </c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7"/>
      <c r="AL314" s="288"/>
      <c r="AM314" s="287"/>
      <c r="AN314" s="287"/>
      <c r="AO314" s="287"/>
      <c r="AP314" s="286"/>
      <c r="AQ314" s="29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286"/>
      <c r="BB314" s="286"/>
      <c r="BC314" s="286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  <c r="BU314" s="287"/>
      <c r="BV314" s="287"/>
      <c r="BW314" s="287"/>
      <c r="BX314" s="286"/>
      <c r="BY314" s="289"/>
      <c r="BZ314" s="289">
        <v>25</v>
      </c>
      <c r="CA314" s="289"/>
      <c r="CB314" s="289"/>
      <c r="CC314" s="289"/>
      <c r="CD314" s="289"/>
      <c r="CE314" s="289"/>
      <c r="CF314" s="289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6"/>
      <c r="CT314" s="6"/>
      <c r="CU314" s="6"/>
      <c r="CV314" s="6"/>
      <c r="CW314" s="6"/>
      <c r="CX314" s="6"/>
      <c r="CY314" s="6"/>
      <c r="CZ314" s="6"/>
      <c r="DA314" s="343">
        <f t="shared" si="10"/>
        <v>37.5</v>
      </c>
    </row>
    <row r="315" spans="1:105" ht="20" customHeight="1" x14ac:dyDescent="0.35">
      <c r="A315" s="301"/>
      <c r="B315" s="270" t="s">
        <v>1176</v>
      </c>
      <c r="C315" s="270" t="s">
        <v>1652</v>
      </c>
      <c r="D315" s="320" t="s">
        <v>653</v>
      </c>
      <c r="E315" s="270" t="s">
        <v>34</v>
      </c>
      <c r="F315" s="270" t="s">
        <v>1177</v>
      </c>
      <c r="G315" s="270" t="s">
        <v>44</v>
      </c>
      <c r="H315" s="298">
        <v>8.9</v>
      </c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7"/>
      <c r="AL315" s="288"/>
      <c r="AM315" s="287"/>
      <c r="AN315" s="287"/>
      <c r="AO315" s="287"/>
      <c r="AP315" s="286"/>
      <c r="AQ315" s="29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286"/>
      <c r="BB315" s="286"/>
      <c r="BC315" s="286"/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6"/>
      <c r="BY315" s="289"/>
      <c r="BZ315" s="289"/>
      <c r="CA315" s="289"/>
      <c r="CB315" s="289"/>
      <c r="CC315" s="289"/>
      <c r="CD315" s="289"/>
      <c r="CE315" s="289"/>
      <c r="CF315" s="289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6"/>
      <c r="CT315" s="6"/>
      <c r="CU315" s="6"/>
      <c r="CV315" s="6"/>
      <c r="CW315" s="6"/>
      <c r="CX315" s="6"/>
      <c r="CY315" s="6"/>
      <c r="CZ315" s="6"/>
      <c r="DA315" s="343">
        <f t="shared" si="10"/>
        <v>8.9</v>
      </c>
    </row>
    <row r="316" spans="1:105" ht="20" customHeight="1" x14ac:dyDescent="0.35">
      <c r="A316" s="301"/>
      <c r="B316" s="270" t="s">
        <v>1182</v>
      </c>
      <c r="C316" s="270" t="s">
        <v>1653</v>
      </c>
      <c r="D316" s="320"/>
      <c r="E316" s="270" t="s">
        <v>34</v>
      </c>
      <c r="F316" s="270" t="s">
        <v>579</v>
      </c>
      <c r="G316" s="270" t="s">
        <v>44</v>
      </c>
      <c r="H316" s="298">
        <f>5.5/5</f>
        <v>1.1000000000000001</v>
      </c>
      <c r="I316" s="286"/>
      <c r="J316" s="286"/>
      <c r="K316" s="286"/>
      <c r="L316" s="286"/>
      <c r="M316" s="286"/>
      <c r="N316" s="286"/>
      <c r="O316" s="286"/>
      <c r="P316" s="286">
        <v>2.5</v>
      </c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7"/>
      <c r="AL316" s="288"/>
      <c r="AM316" s="287"/>
      <c r="AN316" s="287"/>
      <c r="AO316" s="287"/>
      <c r="AP316" s="286"/>
      <c r="AQ316" s="29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286"/>
      <c r="BB316" s="286"/>
      <c r="BC316" s="286"/>
      <c r="BD316" s="287"/>
      <c r="BE316" s="287"/>
      <c r="BF316" s="287"/>
      <c r="BG316" s="287"/>
      <c r="BH316" s="287"/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  <c r="BU316" s="287"/>
      <c r="BV316" s="287"/>
      <c r="BW316" s="287"/>
      <c r="BX316" s="286"/>
      <c r="BY316" s="289"/>
      <c r="BZ316" s="289"/>
      <c r="CA316" s="289"/>
      <c r="CB316" s="289"/>
      <c r="CC316" s="289"/>
      <c r="CD316" s="289"/>
      <c r="CE316" s="289"/>
      <c r="CF316" s="289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6"/>
      <c r="CT316" s="6"/>
      <c r="CU316" s="6"/>
      <c r="CV316" s="6"/>
      <c r="CW316" s="6"/>
      <c r="CX316" s="6"/>
      <c r="CY316" s="6"/>
      <c r="CZ316" s="6"/>
      <c r="DA316" s="343">
        <f t="shared" si="10"/>
        <v>1.1000000000000001</v>
      </c>
    </row>
    <row r="317" spans="1:105" ht="20" customHeight="1" x14ac:dyDescent="0.35">
      <c r="A317" s="301">
        <v>520713</v>
      </c>
      <c r="B317" s="270" t="s">
        <v>1184</v>
      </c>
      <c r="C317" s="270" t="s">
        <v>1654</v>
      </c>
      <c r="D317" s="320" t="s">
        <v>653</v>
      </c>
      <c r="E317" s="320" t="s">
        <v>653</v>
      </c>
      <c r="F317" s="270" t="s">
        <v>66</v>
      </c>
      <c r="G317" s="270" t="s">
        <v>44</v>
      </c>
      <c r="H317" s="298">
        <v>17</v>
      </c>
      <c r="I317" s="300">
        <v>22</v>
      </c>
      <c r="J317" s="286"/>
      <c r="K317" s="286"/>
      <c r="L317" s="286"/>
      <c r="M317" s="286"/>
      <c r="N317" s="286"/>
      <c r="O317" s="286"/>
      <c r="P317" s="286"/>
      <c r="Q317" s="286">
        <v>25</v>
      </c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7"/>
      <c r="AL317" s="288"/>
      <c r="AM317" s="287"/>
      <c r="AN317" s="287"/>
      <c r="AO317" s="287"/>
      <c r="AP317" s="286"/>
      <c r="AQ317" s="29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286"/>
      <c r="BB317" s="286"/>
      <c r="BC317" s="286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  <c r="BU317" s="287"/>
      <c r="BV317" s="287"/>
      <c r="BW317" s="287"/>
      <c r="BX317" s="286"/>
      <c r="BY317" s="289"/>
      <c r="BZ317" s="289"/>
      <c r="CA317" s="289"/>
      <c r="CB317" s="289"/>
      <c r="CC317" s="289"/>
      <c r="CD317" s="289"/>
      <c r="CE317" s="289">
        <v>20</v>
      </c>
      <c r="CF317" s="289"/>
      <c r="CG317" s="287"/>
      <c r="CH317" s="287"/>
      <c r="CI317" s="287"/>
      <c r="CJ317" s="287"/>
      <c r="CK317" s="287"/>
      <c r="CL317" s="287">
        <v>26</v>
      </c>
      <c r="CM317" s="287"/>
      <c r="CN317" s="287"/>
      <c r="CO317" s="287"/>
      <c r="CP317" s="287"/>
      <c r="CQ317" s="287">
        <v>24</v>
      </c>
      <c r="CR317" s="287"/>
      <c r="CS317" s="296">
        <v>20</v>
      </c>
      <c r="CT317" s="6"/>
      <c r="CU317" s="6"/>
      <c r="CV317" s="6"/>
      <c r="CW317" s="6"/>
      <c r="CX317" s="6"/>
      <c r="CY317" s="6"/>
      <c r="CZ317" s="6"/>
      <c r="DA317" s="343">
        <f t="shared" si="10"/>
        <v>17</v>
      </c>
    </row>
    <row r="318" spans="1:105" ht="20" customHeight="1" x14ac:dyDescent="0.35">
      <c r="A318" s="301"/>
      <c r="B318" s="270" t="s">
        <v>1248</v>
      </c>
      <c r="C318" s="270" t="s">
        <v>1655</v>
      </c>
      <c r="D318" s="320" t="s">
        <v>653</v>
      </c>
      <c r="E318" s="320" t="s">
        <v>653</v>
      </c>
      <c r="F318" s="270" t="s">
        <v>576</v>
      </c>
      <c r="G318" s="270" t="s">
        <v>44</v>
      </c>
      <c r="H318" s="298">
        <f>4.2*25</f>
        <v>105</v>
      </c>
      <c r="I318" s="286"/>
      <c r="J318" s="292">
        <v>110</v>
      </c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7"/>
      <c r="AL318" s="288"/>
      <c r="AM318" s="287"/>
      <c r="AN318" s="287"/>
      <c r="AO318" s="287"/>
      <c r="AP318" s="286"/>
      <c r="AQ318" s="29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286"/>
      <c r="BB318" s="286"/>
      <c r="BC318" s="286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  <c r="BU318" s="287"/>
      <c r="BV318" s="287"/>
      <c r="BW318" s="287"/>
      <c r="BX318" s="286"/>
      <c r="BY318" s="289"/>
      <c r="BZ318" s="289"/>
      <c r="CA318" s="289"/>
      <c r="CB318" s="289"/>
      <c r="CC318" s="289"/>
      <c r="CD318" s="289"/>
      <c r="CE318" s="289"/>
      <c r="CF318" s="289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6"/>
      <c r="CT318" s="6"/>
      <c r="CU318" s="6"/>
      <c r="CV318" s="6"/>
      <c r="CW318" s="6"/>
      <c r="CX318" s="6"/>
      <c r="CY318" s="6"/>
      <c r="CZ318" s="6"/>
      <c r="DA318" s="343">
        <f t="shared" si="10"/>
        <v>105</v>
      </c>
    </row>
    <row r="319" spans="1:105" ht="20" customHeight="1" x14ac:dyDescent="0.35">
      <c r="A319" s="301"/>
      <c r="B319" s="270" t="s">
        <v>1942</v>
      </c>
      <c r="C319" s="270" t="s">
        <v>1655</v>
      </c>
      <c r="D319" s="320" t="s">
        <v>653</v>
      </c>
      <c r="E319" s="320" t="s">
        <v>653</v>
      </c>
      <c r="F319" s="270" t="s">
        <v>579</v>
      </c>
      <c r="G319" s="270" t="s">
        <v>44</v>
      </c>
      <c r="H319" s="298">
        <f>H318/25*3</f>
        <v>12.600000000000001</v>
      </c>
      <c r="I319" s="286"/>
      <c r="J319" s="292">
        <v>15</v>
      </c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7"/>
      <c r="AL319" s="288"/>
      <c r="AM319" s="287"/>
      <c r="AN319" s="287"/>
      <c r="AO319" s="287"/>
      <c r="AP319" s="286"/>
      <c r="AQ319" s="296"/>
      <c r="AR319" s="286"/>
      <c r="AS319" s="286"/>
      <c r="AT319" s="286"/>
      <c r="AU319" s="286"/>
      <c r="AV319" s="286"/>
      <c r="AW319" s="286"/>
      <c r="AX319" s="286"/>
      <c r="AY319" s="286"/>
      <c r="AZ319" s="286">
        <f>J319</f>
        <v>15</v>
      </c>
      <c r="BA319" s="286"/>
      <c r="BB319" s="286"/>
      <c r="BC319" s="286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  <c r="BU319" s="287"/>
      <c r="BV319" s="287"/>
      <c r="BW319" s="287"/>
      <c r="BX319" s="286"/>
      <c r="BY319" s="289"/>
      <c r="BZ319" s="289"/>
      <c r="CA319" s="289"/>
      <c r="CB319" s="289"/>
      <c r="CC319" s="289"/>
      <c r="CD319" s="289"/>
      <c r="CE319" s="289"/>
      <c r="CF319" s="289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6"/>
      <c r="CT319" s="6"/>
      <c r="CU319" s="6"/>
      <c r="CV319" s="6"/>
      <c r="CW319" s="6"/>
      <c r="CX319" s="6"/>
      <c r="CY319" s="6"/>
      <c r="CZ319" s="6"/>
      <c r="DA319" s="343">
        <f>H319</f>
        <v>12.600000000000001</v>
      </c>
    </row>
    <row r="320" spans="1:105" ht="20" customHeight="1" x14ac:dyDescent="0.35">
      <c r="A320" s="301"/>
      <c r="B320" s="270" t="s">
        <v>2145</v>
      </c>
      <c r="C320" s="270" t="s">
        <v>1655</v>
      </c>
      <c r="D320" s="320" t="s">
        <v>653</v>
      </c>
      <c r="E320" s="320" t="s">
        <v>653</v>
      </c>
      <c r="F320" s="270" t="s">
        <v>576</v>
      </c>
      <c r="G320" s="270" t="s">
        <v>44</v>
      </c>
      <c r="H320" s="298">
        <f>4.2*25</f>
        <v>105</v>
      </c>
      <c r="I320" s="286"/>
      <c r="J320" s="292">
        <v>105</v>
      </c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7"/>
      <c r="AL320" s="288"/>
      <c r="AM320" s="287"/>
      <c r="AN320" s="287"/>
      <c r="AO320" s="287"/>
      <c r="AP320" s="286"/>
      <c r="AQ320" s="29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286"/>
      <c r="BB320" s="286"/>
      <c r="BC320" s="286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  <c r="BU320" s="287"/>
      <c r="BV320" s="287"/>
      <c r="BW320" s="287"/>
      <c r="BX320" s="286"/>
      <c r="BY320" s="289"/>
      <c r="BZ320" s="289"/>
      <c r="CA320" s="289"/>
      <c r="CB320" s="289"/>
      <c r="CC320" s="289"/>
      <c r="CD320" s="289"/>
      <c r="CE320" s="289"/>
      <c r="CF320" s="289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6"/>
      <c r="CT320" s="6"/>
      <c r="CU320" s="6"/>
      <c r="CV320" s="6"/>
      <c r="CW320" s="6"/>
      <c r="CX320" s="6"/>
      <c r="CY320" s="6"/>
      <c r="CZ320" s="6"/>
      <c r="DA320" s="343">
        <f>H320</f>
        <v>105</v>
      </c>
    </row>
    <row r="321" spans="1:105" ht="20" customHeight="1" x14ac:dyDescent="0.35">
      <c r="A321" s="301"/>
      <c r="B321" s="270" t="s">
        <v>1294</v>
      </c>
      <c r="C321" s="270" t="s">
        <v>1448</v>
      </c>
      <c r="D321" s="320" t="s">
        <v>1449</v>
      </c>
      <c r="E321" s="270" t="s">
        <v>34</v>
      </c>
      <c r="F321" s="270" t="s">
        <v>1450</v>
      </c>
      <c r="G321" s="270" t="s">
        <v>44</v>
      </c>
      <c r="H321" s="298">
        <v>6.9</v>
      </c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>
        <v>6</v>
      </c>
      <c r="AE321" s="286"/>
      <c r="AF321" s="286"/>
      <c r="AG321" s="286"/>
      <c r="AH321" s="286"/>
      <c r="AI321" s="286"/>
      <c r="AJ321" s="286"/>
      <c r="AK321" s="287"/>
      <c r="AL321" s="288"/>
      <c r="AM321" s="287"/>
      <c r="AN321" s="287"/>
      <c r="AO321" s="287"/>
      <c r="AP321" s="286"/>
      <c r="AQ321" s="29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286"/>
      <c r="BB321" s="286"/>
      <c r="BC321" s="286"/>
      <c r="BD321" s="287"/>
      <c r="BE321" s="287"/>
      <c r="BF321" s="287"/>
      <c r="BG321" s="288">
        <v>9.5</v>
      </c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  <c r="BU321" s="287"/>
      <c r="BV321" s="287"/>
      <c r="BW321" s="287"/>
      <c r="BX321" s="286"/>
      <c r="BY321" s="289"/>
      <c r="BZ321" s="289"/>
      <c r="CA321" s="289"/>
      <c r="CB321" s="289"/>
      <c r="CC321" s="289"/>
      <c r="CD321" s="289"/>
      <c r="CE321" s="289"/>
      <c r="CF321" s="289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>
        <v>10</v>
      </c>
      <c r="CR321" s="287"/>
      <c r="CS321" s="6"/>
      <c r="CT321" s="6"/>
      <c r="CU321" s="6"/>
      <c r="CV321" s="6"/>
      <c r="CW321" s="6"/>
      <c r="CX321" s="6"/>
      <c r="CY321" s="6"/>
      <c r="CZ321" s="6"/>
      <c r="DA321" s="343">
        <f t="shared" si="10"/>
        <v>6.9</v>
      </c>
    </row>
    <row r="322" spans="1:105" ht="20" customHeight="1" x14ac:dyDescent="0.35">
      <c r="A322" s="301"/>
      <c r="B322" s="270" t="s">
        <v>1532</v>
      </c>
      <c r="C322" s="270" t="s">
        <v>1656</v>
      </c>
      <c r="D322" s="320" t="s">
        <v>627</v>
      </c>
      <c r="E322" s="320" t="s">
        <v>1533</v>
      </c>
      <c r="F322" s="270" t="s">
        <v>1363</v>
      </c>
      <c r="G322" s="270" t="s">
        <v>44</v>
      </c>
      <c r="H322" s="298">
        <v>4.8</v>
      </c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7">
        <v>5.3</v>
      </c>
      <c r="AL322" s="288"/>
      <c r="AM322" s="287"/>
      <c r="AN322" s="287"/>
      <c r="AO322" s="287"/>
      <c r="AP322" s="286"/>
      <c r="AQ322" s="29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286"/>
      <c r="BB322" s="286"/>
      <c r="BC322" s="286"/>
      <c r="BD322" s="287"/>
      <c r="BE322" s="287"/>
      <c r="BF322" s="287"/>
      <c r="BG322" s="288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  <c r="BU322" s="287"/>
      <c r="BV322" s="287"/>
      <c r="BW322" s="287"/>
      <c r="BX322" s="286"/>
      <c r="BY322" s="289"/>
      <c r="BZ322" s="289"/>
      <c r="CA322" s="289"/>
      <c r="CB322" s="289"/>
      <c r="CC322" s="289"/>
      <c r="CD322" s="289"/>
      <c r="CE322" s="289"/>
      <c r="CF322" s="289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6"/>
      <c r="CT322" s="6"/>
      <c r="CU322" s="6"/>
      <c r="CV322" s="6"/>
      <c r="CW322" s="6"/>
      <c r="CX322" s="6"/>
      <c r="CY322" s="6"/>
      <c r="CZ322" s="6"/>
      <c r="DA322" s="343">
        <f t="shared" si="10"/>
        <v>4.8</v>
      </c>
    </row>
    <row r="323" spans="1:105" ht="20" customHeight="1" x14ac:dyDescent="0.35">
      <c r="A323" s="301"/>
      <c r="B323" s="270" t="s">
        <v>1560</v>
      </c>
      <c r="C323" s="270" t="s">
        <v>1562</v>
      </c>
      <c r="D323" s="320" t="s">
        <v>653</v>
      </c>
      <c r="E323" s="320" t="s">
        <v>1561</v>
      </c>
      <c r="F323" s="270" t="s">
        <v>1484</v>
      </c>
      <c r="G323" s="270" t="s">
        <v>44</v>
      </c>
      <c r="H323" s="298">
        <v>6</v>
      </c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>
        <v>8.4</v>
      </c>
      <c r="AE323" s="286"/>
      <c r="AF323" s="286"/>
      <c r="AG323" s="286"/>
      <c r="AH323" s="286"/>
      <c r="AI323" s="286"/>
      <c r="AJ323" s="286"/>
      <c r="AK323" s="287"/>
      <c r="AL323" s="288"/>
      <c r="AM323" s="287"/>
      <c r="AN323" s="287"/>
      <c r="AO323" s="287"/>
      <c r="AP323" s="286"/>
      <c r="AQ323" s="29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286"/>
      <c r="BB323" s="286"/>
      <c r="BC323" s="286"/>
      <c r="BD323" s="287"/>
      <c r="BE323" s="287"/>
      <c r="BF323" s="287"/>
      <c r="BG323" s="288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  <c r="BU323" s="287"/>
      <c r="BV323" s="287"/>
      <c r="BW323" s="287"/>
      <c r="BX323" s="286"/>
      <c r="BY323" s="289"/>
      <c r="BZ323" s="289"/>
      <c r="CA323" s="289"/>
      <c r="CB323" s="289"/>
      <c r="CC323" s="289"/>
      <c r="CD323" s="289"/>
      <c r="CE323" s="289"/>
      <c r="CF323" s="289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6"/>
      <c r="CT323" s="6"/>
      <c r="CU323" s="6"/>
      <c r="CV323" s="6"/>
      <c r="CW323" s="6"/>
      <c r="CX323" s="6"/>
      <c r="CY323" s="6"/>
      <c r="CZ323" s="6"/>
      <c r="DA323" s="343">
        <f t="shared" si="10"/>
        <v>6</v>
      </c>
    </row>
    <row r="324" spans="1:105" ht="20" customHeight="1" x14ac:dyDescent="0.35">
      <c r="A324" s="301"/>
      <c r="B324" s="270" t="s">
        <v>1667</v>
      </c>
      <c r="C324" s="270" t="s">
        <v>1562</v>
      </c>
      <c r="D324" s="320" t="s">
        <v>653</v>
      </c>
      <c r="E324" s="320" t="s">
        <v>1561</v>
      </c>
      <c r="F324" s="270" t="s">
        <v>783</v>
      </c>
      <c r="G324" s="270" t="s">
        <v>44</v>
      </c>
      <c r="H324" s="298">
        <v>4</v>
      </c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>
        <v>5.6</v>
      </c>
      <c r="AE324" s="286"/>
      <c r="AF324" s="286"/>
      <c r="AG324" s="286"/>
      <c r="AH324" s="286"/>
      <c r="AI324" s="286"/>
      <c r="AJ324" s="286"/>
      <c r="AK324" s="287"/>
      <c r="AL324" s="288"/>
      <c r="AM324" s="287"/>
      <c r="AN324" s="287"/>
      <c r="AO324" s="287"/>
      <c r="AP324" s="286"/>
      <c r="AQ324" s="29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286"/>
      <c r="BB324" s="286"/>
      <c r="BC324" s="286"/>
      <c r="BD324" s="287"/>
      <c r="BE324" s="287"/>
      <c r="BF324" s="287"/>
      <c r="BG324" s="288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  <c r="BU324" s="287"/>
      <c r="BV324" s="287"/>
      <c r="BW324" s="287"/>
      <c r="BX324" s="286"/>
      <c r="BY324" s="289"/>
      <c r="BZ324" s="289"/>
      <c r="CA324" s="289"/>
      <c r="CB324" s="289"/>
      <c r="CC324" s="289"/>
      <c r="CD324" s="289"/>
      <c r="CE324" s="289"/>
      <c r="CF324" s="289"/>
      <c r="CG324" s="287"/>
      <c r="CH324" s="287"/>
      <c r="CI324" s="287"/>
      <c r="CJ324" s="287"/>
      <c r="CK324" s="287"/>
      <c r="CL324" s="287"/>
      <c r="CM324" s="287"/>
      <c r="CN324" s="287"/>
      <c r="CO324" s="287"/>
      <c r="CP324" s="287"/>
      <c r="CQ324" s="287"/>
      <c r="CR324" s="287"/>
      <c r="CS324" s="6"/>
      <c r="CT324" s="6"/>
      <c r="CU324" s="6"/>
      <c r="CV324" s="6"/>
      <c r="CW324" s="6"/>
      <c r="CX324" s="6"/>
      <c r="CY324" s="6"/>
      <c r="CZ324" s="6"/>
      <c r="DA324" s="343">
        <f t="shared" si="10"/>
        <v>4</v>
      </c>
    </row>
    <row r="325" spans="1:105" ht="20" customHeight="1" x14ac:dyDescent="0.35">
      <c r="A325" s="301"/>
      <c r="B325" s="270" t="s">
        <v>1769</v>
      </c>
      <c r="C325" s="270" t="s">
        <v>1562</v>
      </c>
      <c r="D325" s="320" t="s">
        <v>653</v>
      </c>
      <c r="E325" s="320" t="s">
        <v>1561</v>
      </c>
      <c r="F325" s="270" t="s">
        <v>622</v>
      </c>
      <c r="G325" s="270" t="s">
        <v>44</v>
      </c>
      <c r="H325" s="298">
        <v>10</v>
      </c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>
        <v>14</v>
      </c>
      <c r="AE325" s="286"/>
      <c r="AF325" s="286"/>
      <c r="AG325" s="286"/>
      <c r="AH325" s="286"/>
      <c r="AI325" s="286"/>
      <c r="AJ325" s="286"/>
      <c r="AK325" s="287"/>
      <c r="AL325" s="288"/>
      <c r="AM325" s="287"/>
      <c r="AN325" s="287"/>
      <c r="AO325" s="287"/>
      <c r="AP325" s="286"/>
      <c r="AQ325" s="29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286"/>
      <c r="BB325" s="286"/>
      <c r="BC325" s="286"/>
      <c r="BD325" s="287"/>
      <c r="BE325" s="287"/>
      <c r="BF325" s="287"/>
      <c r="BG325" s="288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  <c r="BU325" s="287"/>
      <c r="BV325" s="287"/>
      <c r="BW325" s="287"/>
      <c r="BX325" s="286"/>
      <c r="BY325" s="289"/>
      <c r="BZ325" s="289"/>
      <c r="CA325" s="289"/>
      <c r="CB325" s="289"/>
      <c r="CC325" s="289"/>
      <c r="CD325" s="289"/>
      <c r="CE325" s="289"/>
      <c r="CF325" s="289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>
        <v>14</v>
      </c>
      <c r="CR325" s="287"/>
      <c r="CS325" s="6"/>
      <c r="CT325" s="6"/>
      <c r="CU325" s="6"/>
      <c r="CV325" s="6"/>
      <c r="CW325" s="6"/>
      <c r="CX325" s="6"/>
      <c r="CY325" s="6"/>
      <c r="CZ325" s="6"/>
      <c r="DA325" s="343">
        <f t="shared" si="10"/>
        <v>10</v>
      </c>
    </row>
    <row r="326" spans="1:105" ht="20" customHeight="1" x14ac:dyDescent="0.35">
      <c r="A326" s="301"/>
      <c r="B326" s="270" t="s">
        <v>1772</v>
      </c>
      <c r="C326" s="270" t="s">
        <v>1562</v>
      </c>
      <c r="D326" s="320" t="s">
        <v>653</v>
      </c>
      <c r="E326" s="320" t="s">
        <v>1561</v>
      </c>
      <c r="F326" s="270" t="s">
        <v>1771</v>
      </c>
      <c r="G326" s="270" t="s">
        <v>44</v>
      </c>
      <c r="H326" s="298">
        <v>8</v>
      </c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>
        <v>11.2</v>
      </c>
      <c r="AE326" s="286"/>
      <c r="AF326" s="286"/>
      <c r="AG326" s="286"/>
      <c r="AH326" s="286"/>
      <c r="AI326" s="286"/>
      <c r="AJ326" s="286"/>
      <c r="AK326" s="287"/>
      <c r="AL326" s="288"/>
      <c r="AM326" s="287"/>
      <c r="AN326" s="287"/>
      <c r="AO326" s="287"/>
      <c r="AP326" s="286"/>
      <c r="AQ326" s="296"/>
      <c r="AR326" s="286"/>
      <c r="AS326" s="286"/>
      <c r="AT326" s="286"/>
      <c r="AU326" s="286"/>
      <c r="AV326" s="286"/>
      <c r="AW326" s="286"/>
      <c r="AX326" s="286"/>
      <c r="AY326" s="286"/>
      <c r="AZ326" s="286"/>
      <c r="BA326" s="286"/>
      <c r="BB326" s="286"/>
      <c r="BC326" s="286"/>
      <c r="BD326" s="287"/>
      <c r="BE326" s="287"/>
      <c r="BF326" s="287"/>
      <c r="BG326" s="288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  <c r="BU326" s="287"/>
      <c r="BV326" s="287"/>
      <c r="BW326" s="287"/>
      <c r="BX326" s="286"/>
      <c r="BY326" s="289"/>
      <c r="BZ326" s="289"/>
      <c r="CA326" s="289"/>
      <c r="CB326" s="289"/>
      <c r="CC326" s="289"/>
      <c r="CD326" s="289"/>
      <c r="CE326" s="289"/>
      <c r="CF326" s="289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6"/>
      <c r="CT326" s="6"/>
      <c r="CU326" s="6"/>
      <c r="CV326" s="6"/>
      <c r="CW326" s="6"/>
      <c r="CX326" s="6"/>
      <c r="CY326" s="6"/>
      <c r="CZ326" s="6"/>
      <c r="DA326" s="343">
        <f t="shared" si="10"/>
        <v>8</v>
      </c>
    </row>
    <row r="327" spans="1:105" ht="20" customHeight="1" x14ac:dyDescent="0.35">
      <c r="A327" s="301"/>
      <c r="B327" s="270" t="s">
        <v>2047</v>
      </c>
      <c r="C327" s="270" t="s">
        <v>1562</v>
      </c>
      <c r="D327" s="320" t="s">
        <v>653</v>
      </c>
      <c r="E327" s="320" t="s">
        <v>1561</v>
      </c>
      <c r="F327" s="270" t="s">
        <v>2048</v>
      </c>
      <c r="G327" s="270" t="s">
        <v>44</v>
      </c>
      <c r="H327" s="298">
        <v>20</v>
      </c>
      <c r="I327" s="286">
        <v>28</v>
      </c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7"/>
      <c r="AL327" s="288"/>
      <c r="AM327" s="287"/>
      <c r="AN327" s="287"/>
      <c r="AO327" s="287"/>
      <c r="AP327" s="286"/>
      <c r="AQ327" s="29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286"/>
      <c r="BB327" s="286"/>
      <c r="BC327" s="286"/>
      <c r="BD327" s="287"/>
      <c r="BE327" s="287"/>
      <c r="BF327" s="287"/>
      <c r="BG327" s="288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  <c r="BU327" s="287"/>
      <c r="BV327" s="287"/>
      <c r="BW327" s="287"/>
      <c r="BX327" s="286"/>
      <c r="BY327" s="289"/>
      <c r="BZ327" s="289"/>
      <c r="CA327" s="289"/>
      <c r="CB327" s="289"/>
      <c r="CC327" s="289"/>
      <c r="CD327" s="289"/>
      <c r="CE327" s="289"/>
      <c r="CF327" s="289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6"/>
      <c r="CT327" s="6"/>
      <c r="CU327" s="6"/>
      <c r="CV327" s="6"/>
      <c r="CW327" s="6"/>
      <c r="CX327" s="6"/>
      <c r="CY327" s="6"/>
      <c r="CZ327" s="6"/>
      <c r="DA327" s="343">
        <f t="shared" si="10"/>
        <v>20</v>
      </c>
    </row>
    <row r="328" spans="1:105" ht="20" customHeight="1" x14ac:dyDescent="0.35">
      <c r="A328" s="301"/>
      <c r="B328" s="306" t="s">
        <v>1688</v>
      </c>
      <c r="C328" s="270" t="s">
        <v>1689</v>
      </c>
      <c r="D328" s="270" t="s">
        <v>653</v>
      </c>
      <c r="E328" s="270" t="s">
        <v>1085</v>
      </c>
      <c r="F328" s="270" t="s">
        <v>1690</v>
      </c>
      <c r="G328" s="270" t="s">
        <v>544</v>
      </c>
      <c r="H328" s="298">
        <f>16.5/2</f>
        <v>8.25</v>
      </c>
      <c r="I328" s="286"/>
      <c r="J328" s="292">
        <v>10.8</v>
      </c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7"/>
      <c r="AL328" s="288">
        <f>J328</f>
        <v>10.8</v>
      </c>
      <c r="AM328" s="287"/>
      <c r="AN328" s="287"/>
      <c r="AO328" s="287"/>
      <c r="AP328" s="286"/>
      <c r="AQ328" s="296">
        <v>12</v>
      </c>
      <c r="AR328" s="286"/>
      <c r="AS328" s="286"/>
      <c r="AT328" s="286"/>
      <c r="AU328" s="286"/>
      <c r="AV328" s="286"/>
      <c r="AW328" s="286"/>
      <c r="AX328" s="286"/>
      <c r="AY328" s="286"/>
      <c r="AZ328" s="286">
        <f>J328</f>
        <v>10.8</v>
      </c>
      <c r="BA328" s="286"/>
      <c r="BB328" s="286"/>
      <c r="BC328" s="286"/>
      <c r="BD328" s="287"/>
      <c r="BE328" s="287"/>
      <c r="BF328" s="287"/>
      <c r="BG328" s="288"/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>
        <v>11</v>
      </c>
      <c r="BT328" s="287"/>
      <c r="BU328" s="287"/>
      <c r="BV328" s="287"/>
      <c r="BW328" s="287"/>
      <c r="BX328" s="286">
        <f>J328</f>
        <v>10.8</v>
      </c>
      <c r="BY328" s="289"/>
      <c r="BZ328" s="289"/>
      <c r="CA328" s="289"/>
      <c r="CB328" s="289"/>
      <c r="CC328" s="289"/>
      <c r="CD328" s="289"/>
      <c r="CE328" s="289"/>
      <c r="CF328" s="289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>
        <v>12</v>
      </c>
      <c r="CR328" s="287"/>
      <c r="CS328" s="6"/>
      <c r="CT328" s="6"/>
      <c r="CU328" s="6"/>
      <c r="CV328" s="6"/>
      <c r="CW328" s="6"/>
      <c r="CX328" s="6"/>
      <c r="CY328" s="6"/>
      <c r="CZ328" s="6"/>
      <c r="DA328" s="343">
        <f t="shared" si="10"/>
        <v>8.25</v>
      </c>
    </row>
    <row r="329" spans="1:105" ht="20" customHeight="1" x14ac:dyDescent="0.35">
      <c r="A329" s="301"/>
      <c r="B329" s="306" t="s">
        <v>1903</v>
      </c>
      <c r="C329" s="270" t="s">
        <v>1689</v>
      </c>
      <c r="D329" s="321"/>
      <c r="E329" s="270" t="s">
        <v>50</v>
      </c>
      <c r="F329" s="270" t="s">
        <v>1690</v>
      </c>
      <c r="G329" s="270" t="s">
        <v>544</v>
      </c>
      <c r="H329" s="298"/>
      <c r="I329" s="286"/>
      <c r="J329" s="292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7"/>
      <c r="AL329" s="288"/>
      <c r="AM329" s="287"/>
      <c r="AN329" s="287"/>
      <c r="AO329" s="287"/>
      <c r="AP329" s="286"/>
      <c r="AQ329" s="29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286"/>
      <c r="BB329" s="286"/>
      <c r="BC329" s="286"/>
      <c r="BD329" s="287"/>
      <c r="BE329" s="287"/>
      <c r="BF329" s="287"/>
      <c r="BG329" s="288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  <c r="BU329" s="287"/>
      <c r="BV329" s="287"/>
      <c r="BW329" s="287"/>
      <c r="BX329" s="286"/>
      <c r="BY329" s="289"/>
      <c r="BZ329" s="289"/>
      <c r="CA329" s="289"/>
      <c r="CB329" s="289"/>
      <c r="CC329" s="289"/>
      <c r="CD329" s="289"/>
      <c r="CE329" s="289"/>
      <c r="CF329" s="289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6"/>
      <c r="CT329" s="6"/>
      <c r="CU329" s="6"/>
      <c r="CV329" s="6"/>
      <c r="CW329" s="6"/>
      <c r="CX329" s="6"/>
      <c r="CY329" s="6"/>
      <c r="CZ329" s="6"/>
      <c r="DA329" s="343"/>
    </row>
    <row r="330" spans="1:105" ht="20" customHeight="1" x14ac:dyDescent="0.35">
      <c r="A330" s="301"/>
      <c r="B330" s="270" t="s">
        <v>908</v>
      </c>
      <c r="C330" s="270" t="s">
        <v>2280</v>
      </c>
      <c r="D330" s="270" t="s">
        <v>1103</v>
      </c>
      <c r="E330" s="270" t="s">
        <v>155</v>
      </c>
      <c r="F330" s="270" t="s">
        <v>111</v>
      </c>
      <c r="G330" s="270" t="s">
        <v>109</v>
      </c>
      <c r="H330" s="298">
        <f>74/24</f>
        <v>3.0833333333333335</v>
      </c>
      <c r="I330" s="286"/>
      <c r="J330" s="292"/>
      <c r="K330" s="286"/>
      <c r="L330" s="286"/>
      <c r="M330" s="286"/>
      <c r="N330" s="286"/>
      <c r="O330" s="286"/>
      <c r="P330" s="292"/>
      <c r="Q330" s="286"/>
      <c r="R330" s="286"/>
      <c r="S330" s="286"/>
      <c r="T330" s="286"/>
      <c r="U330" s="286"/>
      <c r="V330" s="294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95"/>
      <c r="AL330" s="288"/>
      <c r="AM330" s="287"/>
      <c r="AN330" s="287"/>
      <c r="AO330" s="287"/>
      <c r="AP330" s="286"/>
      <c r="AQ330" s="29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286"/>
      <c r="BB330" s="286"/>
      <c r="BC330" s="286"/>
      <c r="BD330" s="287"/>
      <c r="BE330" s="287"/>
      <c r="BF330" s="287"/>
      <c r="BG330" s="288"/>
      <c r="BH330" s="287"/>
      <c r="BI330" s="287"/>
      <c r="BJ330" s="287">
        <v>5</v>
      </c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  <c r="BU330" s="287">
        <v>4.5</v>
      </c>
      <c r="BV330" s="287"/>
      <c r="BW330" s="287"/>
      <c r="BX330" s="286"/>
      <c r="BY330" s="289"/>
      <c r="BZ330" s="289">
        <v>4.5</v>
      </c>
      <c r="CA330" s="289"/>
      <c r="CB330" s="289"/>
      <c r="CC330" s="289"/>
      <c r="CD330" s="289"/>
      <c r="CE330" s="289"/>
      <c r="CF330" s="289"/>
      <c r="CG330" s="287"/>
      <c r="CH330" s="287"/>
      <c r="CI330" s="287"/>
      <c r="CJ330" s="287"/>
      <c r="CK330" s="287"/>
      <c r="CL330" s="287">
        <v>5.5</v>
      </c>
      <c r="CM330" s="287"/>
      <c r="CN330" s="287"/>
      <c r="CO330" s="287"/>
      <c r="CP330" s="287"/>
      <c r="CQ330" s="287">
        <v>5</v>
      </c>
      <c r="CR330" s="287"/>
      <c r="CS330" s="296">
        <v>5</v>
      </c>
      <c r="CT330" s="6"/>
      <c r="CU330" s="6"/>
      <c r="CV330" s="6"/>
      <c r="CW330" s="6"/>
      <c r="CX330" s="6"/>
      <c r="CY330" s="6"/>
      <c r="CZ330" s="6"/>
      <c r="DA330" s="343">
        <f t="shared" ref="DA330" si="11">H330</f>
        <v>3.0833333333333335</v>
      </c>
    </row>
    <row r="331" spans="1:105" ht="20" customHeight="1" x14ac:dyDescent="0.35">
      <c r="A331" s="301"/>
      <c r="B331" s="306" t="s">
        <v>1691</v>
      </c>
      <c r="C331" s="270" t="s">
        <v>1692</v>
      </c>
      <c r="D331" s="270"/>
      <c r="E331" s="270" t="s">
        <v>34</v>
      </c>
      <c r="F331" s="270" t="s">
        <v>1693</v>
      </c>
      <c r="G331" s="270" t="s">
        <v>109</v>
      </c>
      <c r="H331" s="298">
        <v>10.5</v>
      </c>
      <c r="I331" s="286">
        <v>14</v>
      </c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7"/>
      <c r="AL331" s="288"/>
      <c r="AM331" s="287"/>
      <c r="AN331" s="287"/>
      <c r="AO331" s="287"/>
      <c r="AP331" s="286"/>
      <c r="AQ331" s="29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286"/>
      <c r="BB331" s="286"/>
      <c r="BC331" s="286"/>
      <c r="BD331" s="287"/>
      <c r="BE331" s="287"/>
      <c r="BF331" s="287"/>
      <c r="BG331" s="288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287"/>
      <c r="BW331" s="287"/>
      <c r="BX331" s="286"/>
      <c r="BY331" s="289"/>
      <c r="BZ331" s="289"/>
      <c r="CA331" s="289"/>
      <c r="CB331" s="289"/>
      <c r="CC331" s="289"/>
      <c r="CD331" s="289"/>
      <c r="CE331" s="289"/>
      <c r="CF331" s="289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>
        <v>14</v>
      </c>
      <c r="CR331" s="287"/>
      <c r="CS331" s="6"/>
      <c r="CT331" s="6"/>
      <c r="CU331" s="6"/>
      <c r="CV331" s="6"/>
      <c r="CW331" s="6"/>
      <c r="CX331" s="6"/>
      <c r="CY331" s="6"/>
      <c r="CZ331" s="6"/>
      <c r="DA331" s="343">
        <f t="shared" si="10"/>
        <v>10.5</v>
      </c>
    </row>
    <row r="332" spans="1:105" ht="20" customHeight="1" x14ac:dyDescent="0.35">
      <c r="A332" s="301"/>
      <c r="B332" s="306" t="s">
        <v>1808</v>
      </c>
      <c r="C332" s="270" t="s">
        <v>1813</v>
      </c>
      <c r="D332" s="270" t="s">
        <v>653</v>
      </c>
      <c r="E332" s="270" t="s">
        <v>34</v>
      </c>
      <c r="F332" s="270" t="s">
        <v>1690</v>
      </c>
      <c r="G332" s="270" t="s">
        <v>44</v>
      </c>
      <c r="H332" s="298">
        <f>4.5/2</f>
        <v>2.25</v>
      </c>
      <c r="I332" s="286"/>
      <c r="J332" s="292">
        <v>2.4</v>
      </c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7"/>
      <c r="AL332" s="288"/>
      <c r="AM332" s="287"/>
      <c r="AN332" s="287"/>
      <c r="AO332" s="287"/>
      <c r="AP332" s="286"/>
      <c r="AQ332" s="296"/>
      <c r="AR332" s="286"/>
      <c r="AS332" s="286"/>
      <c r="AT332" s="286"/>
      <c r="AU332" s="286"/>
      <c r="AV332" s="286"/>
      <c r="AW332" s="286"/>
      <c r="AX332" s="286"/>
      <c r="AY332" s="286"/>
      <c r="AZ332" s="286">
        <v>2.4</v>
      </c>
      <c r="BA332" s="286"/>
      <c r="BB332" s="286"/>
      <c r="BC332" s="286"/>
      <c r="BD332" s="287"/>
      <c r="BE332" s="287"/>
      <c r="BF332" s="287"/>
      <c r="BG332" s="288"/>
      <c r="BH332" s="287">
        <v>2.4</v>
      </c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  <c r="BU332" s="287"/>
      <c r="BV332" s="287"/>
      <c r="BW332" s="287"/>
      <c r="BX332" s="286"/>
      <c r="BY332" s="289"/>
      <c r="BZ332" s="289"/>
      <c r="CA332" s="289"/>
      <c r="CB332" s="289"/>
      <c r="CC332" s="289"/>
      <c r="CD332" s="289"/>
      <c r="CE332" s="289"/>
      <c r="CF332" s="289"/>
      <c r="CG332" s="287"/>
      <c r="CH332" s="287"/>
      <c r="CI332" s="287"/>
      <c r="CJ332" s="287"/>
      <c r="CK332" s="287"/>
      <c r="CL332" s="287"/>
      <c r="CM332" s="292">
        <v>2.4</v>
      </c>
      <c r="CN332" s="287"/>
      <c r="CO332" s="287"/>
      <c r="CP332" s="287"/>
      <c r="CQ332" s="287"/>
      <c r="CR332" s="287"/>
      <c r="CS332" s="6"/>
      <c r="CT332" s="6"/>
      <c r="CU332" s="6"/>
      <c r="CV332" s="6"/>
      <c r="CW332" s="6"/>
      <c r="CX332" s="6"/>
      <c r="CY332" s="6"/>
      <c r="CZ332" s="6"/>
      <c r="DA332" s="343">
        <f t="shared" si="10"/>
        <v>2.25</v>
      </c>
    </row>
    <row r="333" spans="1:105" ht="20" customHeight="1" x14ac:dyDescent="0.35">
      <c r="A333" s="301"/>
      <c r="B333" s="306" t="s">
        <v>1809</v>
      </c>
      <c r="C333" s="270" t="s">
        <v>1814</v>
      </c>
      <c r="D333" s="270" t="s">
        <v>653</v>
      </c>
      <c r="E333" s="270" t="s">
        <v>34</v>
      </c>
      <c r="F333" s="270" t="s">
        <v>1818</v>
      </c>
      <c r="G333" s="270" t="s">
        <v>544</v>
      </c>
      <c r="H333" s="298">
        <f>2.8/600*100*10</f>
        <v>4.6666666666666661</v>
      </c>
      <c r="I333" s="286"/>
      <c r="J333" s="292">
        <v>10</v>
      </c>
      <c r="K333" s="286"/>
      <c r="L333" s="286"/>
      <c r="M333" s="286"/>
      <c r="N333" s="286"/>
      <c r="O333" s="286"/>
      <c r="P333" s="286"/>
      <c r="Q333" s="286"/>
      <c r="R333" s="286"/>
      <c r="S333" s="286"/>
      <c r="T333" s="292">
        <v>10</v>
      </c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7"/>
      <c r="AL333" s="288"/>
      <c r="AM333" s="287"/>
      <c r="AN333" s="287"/>
      <c r="AO333" s="287"/>
      <c r="AP333" s="286"/>
      <c r="AQ333" s="29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286"/>
      <c r="BB333" s="286"/>
      <c r="BC333" s="286"/>
      <c r="BD333" s="287"/>
      <c r="BE333" s="287"/>
      <c r="BF333" s="287"/>
      <c r="BG333" s="288"/>
      <c r="BH333" s="287">
        <v>10</v>
      </c>
      <c r="BI333" s="287"/>
      <c r="BJ333" s="287"/>
      <c r="BK333" s="287"/>
      <c r="BL333" s="287"/>
      <c r="BM333" s="287"/>
      <c r="BN333" s="287"/>
      <c r="BO333" s="287"/>
      <c r="BP333" s="287"/>
      <c r="BQ333" s="287"/>
      <c r="BR333" s="287"/>
      <c r="BS333" s="287"/>
      <c r="BT333" s="287"/>
      <c r="BU333" s="287"/>
      <c r="BV333" s="287"/>
      <c r="BW333" s="287"/>
      <c r="BX333" s="286">
        <v>10</v>
      </c>
      <c r="BY333" s="289"/>
      <c r="BZ333" s="289"/>
      <c r="CA333" s="289"/>
      <c r="CB333" s="289"/>
      <c r="CC333" s="289"/>
      <c r="CD333" s="289"/>
      <c r="CE333" s="289"/>
      <c r="CF333" s="289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6"/>
      <c r="CT333" s="6"/>
      <c r="CU333" s="6"/>
      <c r="CV333" s="6"/>
      <c r="CW333" s="6"/>
      <c r="CX333" s="6"/>
      <c r="CY333" s="6"/>
      <c r="CZ333" s="6"/>
      <c r="DA333" s="343">
        <f t="shared" si="10"/>
        <v>4.6666666666666661</v>
      </c>
    </row>
    <row r="334" spans="1:105" ht="20" customHeight="1" x14ac:dyDescent="0.35">
      <c r="A334" s="301"/>
      <c r="B334" s="306" t="s">
        <v>1810</v>
      </c>
      <c r="C334" s="270" t="s">
        <v>1815</v>
      </c>
      <c r="D334" s="270" t="s">
        <v>653</v>
      </c>
      <c r="E334" s="270" t="s">
        <v>34</v>
      </c>
      <c r="F334" s="270" t="s">
        <v>1819</v>
      </c>
      <c r="G334" s="270" t="s">
        <v>544</v>
      </c>
      <c r="H334" s="298">
        <f>50/1000*60*10</f>
        <v>30</v>
      </c>
      <c r="I334" s="286"/>
      <c r="J334" s="292">
        <v>38</v>
      </c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7"/>
      <c r="AL334" s="288"/>
      <c r="AM334" s="287"/>
      <c r="AN334" s="287"/>
      <c r="AO334" s="287"/>
      <c r="AP334" s="286"/>
      <c r="AQ334" s="296"/>
      <c r="AR334" s="286"/>
      <c r="AS334" s="286"/>
      <c r="AT334" s="286"/>
      <c r="AU334" s="286"/>
      <c r="AV334" s="286"/>
      <c r="AW334" s="286"/>
      <c r="AX334" s="286"/>
      <c r="AY334" s="286"/>
      <c r="AZ334" s="286">
        <v>38</v>
      </c>
      <c r="BA334" s="286"/>
      <c r="BB334" s="286"/>
      <c r="BC334" s="286"/>
      <c r="BD334" s="287"/>
      <c r="BE334" s="287"/>
      <c r="BF334" s="287"/>
      <c r="BG334" s="288"/>
      <c r="BH334" s="292">
        <v>38</v>
      </c>
      <c r="BI334" s="287"/>
      <c r="BJ334" s="287"/>
      <c r="BK334" s="287"/>
      <c r="BL334" s="287"/>
      <c r="BM334" s="287"/>
      <c r="BN334" s="287"/>
      <c r="BO334" s="287"/>
      <c r="BP334" s="287"/>
      <c r="BQ334" s="287"/>
      <c r="BR334" s="287"/>
      <c r="BS334" s="287"/>
      <c r="BT334" s="287"/>
      <c r="BU334" s="287"/>
      <c r="BV334" s="287"/>
      <c r="BW334" s="287"/>
      <c r="BX334" s="286"/>
      <c r="BY334" s="289"/>
      <c r="BZ334" s="289"/>
      <c r="CA334" s="289"/>
      <c r="CB334" s="289"/>
      <c r="CC334" s="289"/>
      <c r="CD334" s="289"/>
      <c r="CE334" s="289"/>
      <c r="CF334" s="289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6"/>
      <c r="CT334" s="6"/>
      <c r="CU334" s="6"/>
      <c r="CV334" s="6"/>
      <c r="CW334" s="6"/>
      <c r="CX334" s="6"/>
      <c r="CY334" s="6"/>
      <c r="CZ334" s="6"/>
      <c r="DA334" s="343">
        <f t="shared" si="10"/>
        <v>30</v>
      </c>
    </row>
    <row r="335" spans="1:105" ht="20" customHeight="1" x14ac:dyDescent="0.35">
      <c r="A335" s="301"/>
      <c r="B335" s="306" t="s">
        <v>1811</v>
      </c>
      <c r="C335" s="270" t="s">
        <v>1816</v>
      </c>
      <c r="D335" s="270" t="s">
        <v>653</v>
      </c>
      <c r="E335" s="270" t="s">
        <v>34</v>
      </c>
      <c r="F335" s="270" t="s">
        <v>1820</v>
      </c>
      <c r="G335" s="270" t="s">
        <v>544</v>
      </c>
      <c r="H335" s="298">
        <v>25</v>
      </c>
      <c r="I335" s="286"/>
      <c r="J335" s="292">
        <v>28</v>
      </c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7"/>
      <c r="AL335" s="288"/>
      <c r="AM335" s="287"/>
      <c r="AN335" s="287"/>
      <c r="AO335" s="287"/>
      <c r="AP335" s="286"/>
      <c r="AQ335" s="296"/>
      <c r="AR335" s="286"/>
      <c r="AS335" s="286"/>
      <c r="AT335" s="286"/>
      <c r="AU335" s="286"/>
      <c r="AV335" s="286"/>
      <c r="AW335" s="286"/>
      <c r="AX335" s="286"/>
      <c r="AY335" s="286"/>
      <c r="AZ335" s="286">
        <v>28</v>
      </c>
      <c r="BA335" s="286"/>
      <c r="BB335" s="286"/>
      <c r="BC335" s="286"/>
      <c r="BD335" s="287"/>
      <c r="BE335" s="287"/>
      <c r="BF335" s="287"/>
      <c r="BG335" s="288"/>
      <c r="BH335" s="292">
        <v>28</v>
      </c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/>
      <c r="BT335" s="287"/>
      <c r="BU335" s="287"/>
      <c r="BV335" s="287"/>
      <c r="BW335" s="287"/>
      <c r="BX335" s="286"/>
      <c r="BY335" s="289"/>
      <c r="BZ335" s="289"/>
      <c r="CA335" s="289"/>
      <c r="CB335" s="289"/>
      <c r="CC335" s="289"/>
      <c r="CD335" s="289"/>
      <c r="CE335" s="289"/>
      <c r="CF335" s="289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6"/>
      <c r="CT335" s="6"/>
      <c r="CU335" s="6"/>
      <c r="CV335" s="6"/>
      <c r="CW335" s="6"/>
      <c r="CX335" s="6"/>
      <c r="CY335" s="6"/>
      <c r="CZ335" s="6"/>
      <c r="DA335" s="343">
        <f t="shared" si="10"/>
        <v>25</v>
      </c>
    </row>
    <row r="336" spans="1:105" ht="20" customHeight="1" x14ac:dyDescent="0.35">
      <c r="A336" s="301"/>
      <c r="B336" s="306" t="s">
        <v>1915</v>
      </c>
      <c r="C336" s="270" t="s">
        <v>1916</v>
      </c>
      <c r="D336" s="270" t="s">
        <v>653</v>
      </c>
      <c r="E336" s="270" t="s">
        <v>34</v>
      </c>
      <c r="F336" s="270" t="s">
        <v>1917</v>
      </c>
      <c r="G336" s="270" t="s">
        <v>44</v>
      </c>
      <c r="H336" s="298">
        <v>46</v>
      </c>
      <c r="I336" s="286"/>
      <c r="J336" s="292">
        <v>13.8</v>
      </c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7"/>
      <c r="AL336" s="288"/>
      <c r="AM336" s="287"/>
      <c r="AN336" s="287"/>
      <c r="AO336" s="287"/>
      <c r="AP336" s="286"/>
      <c r="AQ336" s="29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286"/>
      <c r="BB336" s="286"/>
      <c r="BC336" s="286"/>
      <c r="BD336" s="287"/>
      <c r="BE336" s="287"/>
      <c r="BF336" s="287"/>
      <c r="BG336" s="288"/>
      <c r="BH336" s="287">
        <v>13.8</v>
      </c>
      <c r="BI336" s="287"/>
      <c r="BJ336" s="287"/>
      <c r="BK336" s="287"/>
      <c r="BL336" s="287"/>
      <c r="BM336" s="287"/>
      <c r="BN336" s="287"/>
      <c r="BO336" s="287"/>
      <c r="BP336" s="287"/>
      <c r="BQ336" s="287"/>
      <c r="BR336" s="287"/>
      <c r="BS336" s="287"/>
      <c r="BT336" s="287"/>
      <c r="BU336" s="287"/>
      <c r="BV336" s="287"/>
      <c r="BW336" s="287"/>
      <c r="BX336" s="286"/>
      <c r="BY336" s="289"/>
      <c r="BZ336" s="289"/>
      <c r="CA336" s="289"/>
      <c r="CB336" s="289"/>
      <c r="CC336" s="289"/>
      <c r="CD336" s="289"/>
      <c r="CE336" s="289"/>
      <c r="CF336" s="289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6"/>
      <c r="CT336" s="6"/>
      <c r="CU336" s="6"/>
      <c r="CV336" s="6"/>
      <c r="CW336" s="6"/>
      <c r="CX336" s="6"/>
      <c r="CY336" s="6"/>
      <c r="CZ336" s="6"/>
      <c r="DA336" s="343">
        <f t="shared" si="10"/>
        <v>46</v>
      </c>
    </row>
    <row r="337" spans="1:105" ht="20" customHeight="1" x14ac:dyDescent="0.35">
      <c r="A337" s="301"/>
      <c r="B337" s="306" t="s">
        <v>1921</v>
      </c>
      <c r="C337" s="270" t="s">
        <v>1922</v>
      </c>
      <c r="D337" s="270" t="s">
        <v>653</v>
      </c>
      <c r="E337" s="270" t="s">
        <v>34</v>
      </c>
      <c r="F337" s="270" t="s">
        <v>1917</v>
      </c>
      <c r="G337" s="270" t="s">
        <v>44</v>
      </c>
      <c r="H337" s="298">
        <v>12</v>
      </c>
      <c r="I337" s="286"/>
      <c r="J337" s="292"/>
      <c r="K337" s="286"/>
      <c r="L337" s="286"/>
      <c r="M337" s="286"/>
      <c r="N337" s="286"/>
      <c r="O337" s="286"/>
      <c r="P337" s="286">
        <v>15</v>
      </c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7"/>
      <c r="AL337" s="288"/>
      <c r="AM337" s="287"/>
      <c r="AN337" s="287"/>
      <c r="AO337" s="287"/>
      <c r="AP337" s="286"/>
      <c r="AQ337" s="29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286"/>
      <c r="BB337" s="286"/>
      <c r="BC337" s="286"/>
      <c r="BD337" s="287"/>
      <c r="BE337" s="287"/>
      <c r="BF337" s="287"/>
      <c r="BG337" s="288"/>
      <c r="BH337" s="287"/>
      <c r="BI337" s="287"/>
      <c r="BJ337" s="287"/>
      <c r="BK337" s="287"/>
      <c r="BL337" s="287"/>
      <c r="BM337" s="287"/>
      <c r="BN337" s="287"/>
      <c r="BO337" s="287"/>
      <c r="BP337" s="287"/>
      <c r="BQ337" s="287"/>
      <c r="BR337" s="287"/>
      <c r="BS337" s="287"/>
      <c r="BT337" s="287"/>
      <c r="BU337" s="287"/>
      <c r="BV337" s="287"/>
      <c r="BW337" s="287"/>
      <c r="BX337" s="286"/>
      <c r="BY337" s="289"/>
      <c r="BZ337" s="289"/>
      <c r="CA337" s="289"/>
      <c r="CB337" s="289"/>
      <c r="CC337" s="289"/>
      <c r="CD337" s="289"/>
      <c r="CE337" s="289"/>
      <c r="CF337" s="289"/>
      <c r="CG337" s="287"/>
      <c r="CH337" s="287"/>
      <c r="CI337" s="287"/>
      <c r="CJ337" s="287"/>
      <c r="CK337" s="287"/>
      <c r="CL337" s="287"/>
      <c r="CM337" s="287"/>
      <c r="CN337" s="287"/>
      <c r="CO337" s="287"/>
      <c r="CP337" s="287"/>
      <c r="CQ337" s="287"/>
      <c r="CR337" s="287"/>
      <c r="CS337" s="6"/>
      <c r="CT337" s="6"/>
      <c r="CU337" s="6"/>
      <c r="CV337" s="6"/>
      <c r="CW337" s="6"/>
      <c r="CX337" s="6"/>
      <c r="CY337" s="6"/>
      <c r="CZ337" s="6"/>
      <c r="DA337" s="343">
        <v>12</v>
      </c>
    </row>
    <row r="338" spans="1:105" ht="20" customHeight="1" x14ac:dyDescent="0.35">
      <c r="A338" s="301"/>
      <c r="B338" s="306" t="s">
        <v>2033</v>
      </c>
      <c r="C338" s="270" t="s">
        <v>2034</v>
      </c>
      <c r="D338" s="270" t="s">
        <v>330</v>
      </c>
      <c r="E338" s="270" t="s">
        <v>34</v>
      </c>
      <c r="F338" s="270" t="s">
        <v>2035</v>
      </c>
      <c r="G338" s="270" t="s">
        <v>36</v>
      </c>
      <c r="H338" s="298">
        <v>46</v>
      </c>
      <c r="I338" s="286"/>
      <c r="J338" s="292">
        <v>52</v>
      </c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7"/>
      <c r="AL338" s="288"/>
      <c r="AM338" s="287"/>
      <c r="AN338" s="287"/>
      <c r="AO338" s="287"/>
      <c r="AP338" s="286"/>
      <c r="AQ338" s="29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286"/>
      <c r="BB338" s="286"/>
      <c r="BC338" s="286"/>
      <c r="BD338" s="287"/>
      <c r="BE338" s="287"/>
      <c r="BF338" s="287"/>
      <c r="BG338" s="288"/>
      <c r="BH338" s="287"/>
      <c r="BI338" s="287"/>
      <c r="BJ338" s="287"/>
      <c r="BK338" s="287"/>
      <c r="BL338" s="287"/>
      <c r="BM338" s="287"/>
      <c r="BN338" s="287"/>
      <c r="BO338" s="287"/>
      <c r="BP338" s="287"/>
      <c r="BQ338" s="287"/>
      <c r="BR338" s="287"/>
      <c r="BS338" s="287"/>
      <c r="BT338" s="287"/>
      <c r="BU338" s="287"/>
      <c r="BV338" s="287"/>
      <c r="BW338" s="287"/>
      <c r="BX338" s="286"/>
      <c r="BY338" s="289"/>
      <c r="BZ338" s="289"/>
      <c r="CA338" s="289"/>
      <c r="CB338" s="289"/>
      <c r="CC338" s="289"/>
      <c r="CD338" s="289"/>
      <c r="CE338" s="289"/>
      <c r="CF338" s="289"/>
      <c r="CG338" s="287"/>
      <c r="CH338" s="287"/>
      <c r="CI338" s="287"/>
      <c r="CJ338" s="287"/>
      <c r="CK338" s="287"/>
      <c r="CL338" s="287"/>
      <c r="CM338" s="292">
        <v>52</v>
      </c>
      <c r="CN338" s="287"/>
      <c r="CO338" s="287"/>
      <c r="CP338" s="287"/>
      <c r="CQ338" s="287"/>
      <c r="CR338" s="287"/>
      <c r="CS338" s="6"/>
      <c r="CT338" s="6"/>
      <c r="CU338" s="6"/>
      <c r="CV338" s="6"/>
      <c r="CW338" s="6"/>
      <c r="CX338" s="6"/>
      <c r="CY338" s="6"/>
      <c r="CZ338" s="6"/>
      <c r="DA338" s="343">
        <f t="shared" si="10"/>
        <v>46</v>
      </c>
    </row>
    <row r="339" spans="1:105" ht="20" customHeight="1" x14ac:dyDescent="0.35">
      <c r="A339" s="301"/>
      <c r="B339" s="306" t="s">
        <v>2169</v>
      </c>
      <c r="C339" s="270" t="s">
        <v>2171</v>
      </c>
      <c r="D339" s="270" t="s">
        <v>653</v>
      </c>
      <c r="E339" s="270" t="s">
        <v>34</v>
      </c>
      <c r="F339" s="270" t="s">
        <v>2172</v>
      </c>
      <c r="G339" s="270" t="s">
        <v>44</v>
      </c>
      <c r="H339" s="298"/>
      <c r="I339" s="286"/>
      <c r="J339" s="292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7"/>
      <c r="AL339" s="288"/>
      <c r="AM339" s="287"/>
      <c r="AN339" s="287"/>
      <c r="AO339" s="287"/>
      <c r="AP339" s="286"/>
      <c r="AQ339" s="296"/>
      <c r="AR339" s="286"/>
      <c r="AS339" s="286"/>
      <c r="AT339" s="286"/>
      <c r="AU339" s="286"/>
      <c r="AV339" s="286"/>
      <c r="AW339" s="286"/>
      <c r="AX339" s="286"/>
      <c r="AY339" s="286"/>
      <c r="AZ339" s="286"/>
      <c r="BA339" s="286"/>
      <c r="BB339" s="286"/>
      <c r="BC339" s="286"/>
      <c r="BD339" s="287"/>
      <c r="BE339" s="287"/>
      <c r="BF339" s="287"/>
      <c r="BG339" s="288"/>
      <c r="BH339" s="287"/>
      <c r="BI339" s="287"/>
      <c r="BJ339" s="287"/>
      <c r="BK339" s="287"/>
      <c r="BL339" s="287"/>
      <c r="BM339" s="287"/>
      <c r="BN339" s="287"/>
      <c r="BO339" s="287"/>
      <c r="BP339" s="287"/>
      <c r="BQ339" s="287"/>
      <c r="BR339" s="287"/>
      <c r="BS339" s="287"/>
      <c r="BT339" s="287"/>
      <c r="BU339" s="287"/>
      <c r="BV339" s="287"/>
      <c r="BW339" s="287"/>
      <c r="BX339" s="286"/>
      <c r="BY339" s="289"/>
      <c r="BZ339" s="289"/>
      <c r="CA339" s="289"/>
      <c r="CB339" s="289"/>
      <c r="CC339" s="289"/>
      <c r="CD339" s="289"/>
      <c r="CE339" s="289"/>
      <c r="CF339" s="289"/>
      <c r="CG339" s="287"/>
      <c r="CH339" s="287"/>
      <c r="CI339" s="287"/>
      <c r="CJ339" s="287"/>
      <c r="CK339" s="287"/>
      <c r="CL339" s="287"/>
      <c r="CM339" s="292"/>
      <c r="CN339" s="287"/>
      <c r="CO339" s="287"/>
      <c r="CP339" s="287"/>
      <c r="CQ339" s="287"/>
      <c r="CR339" s="287"/>
      <c r="CS339" s="6"/>
      <c r="CT339" s="6"/>
      <c r="CU339" s="6"/>
      <c r="CV339" s="6"/>
      <c r="CW339" s="6"/>
      <c r="CX339" s="6"/>
      <c r="CY339" s="6"/>
      <c r="CZ339" s="6"/>
      <c r="DA339" s="343"/>
    </row>
    <row r="340" spans="1:105" ht="20" customHeight="1" x14ac:dyDescent="0.35">
      <c r="A340" s="301"/>
      <c r="B340" s="270" t="s">
        <v>2263</v>
      </c>
      <c r="C340" s="270" t="s">
        <v>2264</v>
      </c>
      <c r="D340" s="270" t="s">
        <v>1103</v>
      </c>
      <c r="E340" s="270" t="s">
        <v>155</v>
      </c>
      <c r="F340" s="270" t="s">
        <v>111</v>
      </c>
      <c r="G340" s="270" t="s">
        <v>109</v>
      </c>
      <c r="H340" s="298">
        <f>74/24</f>
        <v>3.0833333333333335</v>
      </c>
      <c r="I340" s="286"/>
      <c r="J340" s="292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7"/>
      <c r="AL340" s="288"/>
      <c r="AM340" s="287"/>
      <c r="AN340" s="287"/>
      <c r="AO340" s="287"/>
      <c r="AP340" s="286"/>
      <c r="AQ340" s="29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  <c r="BC340" s="286"/>
      <c r="BD340" s="287"/>
      <c r="BE340" s="287"/>
      <c r="BF340" s="287"/>
      <c r="BG340" s="288"/>
      <c r="BH340" s="287"/>
      <c r="BI340" s="287"/>
      <c r="BJ340" s="287">
        <v>5</v>
      </c>
      <c r="BK340" s="287"/>
      <c r="BL340" s="287"/>
      <c r="BM340" s="287"/>
      <c r="BN340" s="287"/>
      <c r="BO340" s="287"/>
      <c r="BP340" s="287"/>
      <c r="BQ340" s="287"/>
      <c r="BR340" s="287"/>
      <c r="BS340" s="287"/>
      <c r="BT340" s="287"/>
      <c r="BU340" s="287"/>
      <c r="BV340" s="287"/>
      <c r="BW340" s="287"/>
      <c r="BX340" s="286"/>
      <c r="BY340" s="289"/>
      <c r="BZ340" s="289"/>
      <c r="CA340" s="289"/>
      <c r="CB340" s="289"/>
      <c r="CC340" s="289"/>
      <c r="CD340" s="289"/>
      <c r="CE340" s="289"/>
      <c r="CF340" s="289"/>
      <c r="CG340" s="287"/>
      <c r="CH340" s="287"/>
      <c r="CI340" s="287"/>
      <c r="CJ340" s="287"/>
      <c r="CK340" s="287"/>
      <c r="CL340" s="287"/>
      <c r="CM340" s="292"/>
      <c r="CN340" s="287"/>
      <c r="CO340" s="287"/>
      <c r="CP340" s="287"/>
      <c r="CQ340" s="287"/>
      <c r="CR340" s="287"/>
      <c r="CS340" s="6"/>
      <c r="CT340" s="6"/>
      <c r="CU340" s="6"/>
      <c r="CV340" s="6"/>
      <c r="CW340" s="6"/>
      <c r="CX340" s="6"/>
      <c r="CY340" s="6"/>
      <c r="CZ340" s="6"/>
      <c r="DA340" s="343"/>
    </row>
    <row r="341" spans="1:105" ht="20" customHeight="1" x14ac:dyDescent="0.35">
      <c r="A341" s="290"/>
      <c r="B341" s="270" t="s">
        <v>941</v>
      </c>
      <c r="C341" s="270" t="s">
        <v>1469</v>
      </c>
      <c r="D341" s="270" t="s">
        <v>655</v>
      </c>
      <c r="E341" s="270" t="s">
        <v>386</v>
      </c>
      <c r="F341" s="270" t="s">
        <v>2036</v>
      </c>
      <c r="G341" s="270" t="s">
        <v>36</v>
      </c>
      <c r="H341" s="298">
        <v>25</v>
      </c>
      <c r="I341" s="286"/>
      <c r="J341" s="292"/>
      <c r="K341" s="286"/>
      <c r="L341" s="286">
        <v>27</v>
      </c>
      <c r="M341" s="400"/>
      <c r="N341" s="286"/>
      <c r="O341" s="286"/>
      <c r="P341" s="286"/>
      <c r="Q341" s="286"/>
      <c r="R341" s="286"/>
      <c r="S341" s="286">
        <v>32</v>
      </c>
      <c r="T341" s="286"/>
      <c r="U341" s="286"/>
      <c r="V341" s="294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7"/>
      <c r="AL341" s="286">
        <v>34</v>
      </c>
      <c r="AM341" s="287"/>
      <c r="AN341" s="287"/>
      <c r="AO341" s="286">
        <v>34</v>
      </c>
      <c r="AP341" s="286">
        <v>34</v>
      </c>
      <c r="AQ341" s="296"/>
      <c r="AR341" s="286">
        <v>34</v>
      </c>
      <c r="AS341" s="286"/>
      <c r="AT341" s="286">
        <v>34</v>
      </c>
      <c r="AU341" s="286"/>
      <c r="AV341" s="286"/>
      <c r="AW341" s="286">
        <v>34</v>
      </c>
      <c r="AX341" s="286">
        <v>34</v>
      </c>
      <c r="AY341" s="286">
        <v>34</v>
      </c>
      <c r="AZ341" s="286">
        <v>34</v>
      </c>
      <c r="BA341" s="286">
        <v>34</v>
      </c>
      <c r="BB341" s="286">
        <v>34</v>
      </c>
      <c r="BC341" s="286">
        <v>34</v>
      </c>
      <c r="BD341" s="287"/>
      <c r="BE341" s="287"/>
      <c r="BF341" s="287"/>
      <c r="BG341" s="287"/>
      <c r="BH341" s="287"/>
      <c r="BI341" s="287"/>
      <c r="BJ341" s="287"/>
      <c r="BK341" s="287"/>
      <c r="BL341" s="287"/>
      <c r="BM341" s="287"/>
      <c r="BN341" s="287"/>
      <c r="BO341" s="287"/>
      <c r="BP341" s="287"/>
      <c r="BQ341" s="287"/>
      <c r="BR341" s="287"/>
      <c r="BS341" s="287"/>
      <c r="BT341" s="287"/>
      <c r="BU341" s="287"/>
      <c r="BV341" s="287"/>
      <c r="BW341" s="287"/>
      <c r="BX341" s="286">
        <v>34</v>
      </c>
      <c r="BY341" s="289"/>
      <c r="BZ341" s="289"/>
      <c r="CA341" s="289"/>
      <c r="CB341" s="289"/>
      <c r="CC341" s="289"/>
      <c r="CD341" s="289"/>
      <c r="CE341" s="289"/>
      <c r="CF341" s="289"/>
      <c r="CG341" s="287"/>
      <c r="CH341" s="287"/>
      <c r="CI341" s="287"/>
      <c r="CJ341" s="287"/>
      <c r="CK341" s="287"/>
      <c r="CL341" s="287"/>
      <c r="CM341" s="292"/>
      <c r="CN341" s="287"/>
      <c r="CO341" s="292">
        <v>34</v>
      </c>
      <c r="CP341" s="287"/>
      <c r="CQ341" s="287"/>
      <c r="CR341" s="287">
        <v>33</v>
      </c>
      <c r="CS341" s="292"/>
      <c r="CT341" s="6"/>
      <c r="CU341" s="6"/>
      <c r="CV341" s="6"/>
      <c r="CW341" s="6"/>
      <c r="CX341" s="6"/>
      <c r="CY341" s="6"/>
      <c r="CZ341" s="6"/>
      <c r="DA341" s="343">
        <f t="shared" si="10"/>
        <v>25</v>
      </c>
    </row>
    <row r="342" spans="1:105" ht="20" customHeight="1" x14ac:dyDescent="0.35">
      <c r="A342" s="290"/>
      <c r="B342" s="270" t="s">
        <v>942</v>
      </c>
      <c r="C342" s="270" t="s">
        <v>1469</v>
      </c>
      <c r="D342" s="297" t="s">
        <v>655</v>
      </c>
      <c r="E342" s="270" t="s">
        <v>386</v>
      </c>
      <c r="F342" s="270" t="s">
        <v>2037</v>
      </c>
      <c r="G342" s="270" t="s">
        <v>36</v>
      </c>
      <c r="H342" s="298">
        <f>H341/2</f>
        <v>12.5</v>
      </c>
      <c r="I342" s="292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94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95"/>
      <c r="AL342" s="288"/>
      <c r="AM342" s="287"/>
      <c r="AN342" s="287"/>
      <c r="AO342" s="287"/>
      <c r="AP342" s="286"/>
      <c r="AQ342" s="296"/>
      <c r="AR342" s="286"/>
      <c r="AS342" s="286"/>
      <c r="AT342" s="286"/>
      <c r="AU342" s="286"/>
      <c r="AV342" s="286"/>
      <c r="AW342" s="286"/>
      <c r="AX342" s="286"/>
      <c r="AY342" s="286"/>
      <c r="AZ342" s="286"/>
      <c r="BA342" s="286"/>
      <c r="BB342" s="286"/>
      <c r="BC342" s="286"/>
      <c r="BD342" s="287"/>
      <c r="BE342" s="287"/>
      <c r="BF342" s="287"/>
      <c r="BG342" s="287"/>
      <c r="BH342" s="287"/>
      <c r="BI342" s="287"/>
      <c r="BJ342" s="287"/>
      <c r="BK342" s="287"/>
      <c r="BL342" s="287"/>
      <c r="BM342" s="287"/>
      <c r="BN342" s="287"/>
      <c r="BO342" s="287"/>
      <c r="BP342" s="287"/>
      <c r="BQ342" s="287"/>
      <c r="BR342" s="287"/>
      <c r="BS342" s="287"/>
      <c r="BT342" s="287"/>
      <c r="BU342" s="287"/>
      <c r="BV342" s="287"/>
      <c r="BW342" s="287"/>
      <c r="BX342" s="286"/>
      <c r="BY342" s="289"/>
      <c r="BZ342" s="289"/>
      <c r="CA342" s="289"/>
      <c r="CB342" s="289"/>
      <c r="CC342" s="289"/>
      <c r="CD342" s="289"/>
      <c r="CE342" s="289"/>
      <c r="CF342" s="289"/>
      <c r="CG342" s="287"/>
      <c r="CH342" s="287"/>
      <c r="CI342" s="287"/>
      <c r="CJ342" s="287"/>
      <c r="CK342" s="287"/>
      <c r="CL342" s="287"/>
      <c r="CM342" s="287"/>
      <c r="CN342" s="287"/>
      <c r="CO342" s="287"/>
      <c r="CP342" s="287"/>
      <c r="CQ342" s="287">
        <v>18</v>
      </c>
      <c r="CR342" s="287"/>
      <c r="CS342" s="296">
        <v>16</v>
      </c>
      <c r="CT342" s="6"/>
      <c r="CU342" s="6"/>
      <c r="CV342" s="6"/>
      <c r="CW342" s="6"/>
      <c r="CX342" s="6"/>
      <c r="CY342" s="6"/>
      <c r="CZ342" s="6"/>
      <c r="DA342" s="343">
        <f t="shared" si="10"/>
        <v>12.5</v>
      </c>
    </row>
    <row r="343" spans="1:105" ht="20" customHeight="1" x14ac:dyDescent="0.35">
      <c r="A343" s="301"/>
      <c r="B343" s="270" t="s">
        <v>943</v>
      </c>
      <c r="C343" s="270" t="s">
        <v>1469</v>
      </c>
      <c r="D343" s="270"/>
      <c r="E343" s="270" t="s">
        <v>693</v>
      </c>
      <c r="F343" s="270" t="s">
        <v>2038</v>
      </c>
      <c r="G343" s="270" t="s">
        <v>36</v>
      </c>
      <c r="H343" s="298">
        <v>77</v>
      </c>
      <c r="I343" s="286"/>
      <c r="J343" s="286"/>
      <c r="K343" s="286"/>
      <c r="L343" s="286"/>
      <c r="M343" s="286"/>
      <c r="N343" s="292">
        <v>85</v>
      </c>
      <c r="O343" s="286">
        <v>85</v>
      </c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7"/>
      <c r="AL343" s="288"/>
      <c r="AM343" s="287"/>
      <c r="AN343" s="287"/>
      <c r="AO343" s="287"/>
      <c r="AP343" s="286"/>
      <c r="AQ343" s="29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7"/>
      <c r="BE343" s="287"/>
      <c r="BF343" s="287"/>
      <c r="BG343" s="287"/>
      <c r="BH343" s="287"/>
      <c r="BI343" s="287"/>
      <c r="BJ343" s="287"/>
      <c r="BK343" s="287"/>
      <c r="BL343" s="287"/>
      <c r="BM343" s="287"/>
      <c r="BN343" s="287"/>
      <c r="BO343" s="287"/>
      <c r="BP343" s="287"/>
      <c r="BQ343" s="287"/>
      <c r="BR343" s="287"/>
      <c r="BS343" s="287"/>
      <c r="BT343" s="287"/>
      <c r="BU343" s="287"/>
      <c r="BV343" s="287"/>
      <c r="BW343" s="287"/>
      <c r="BX343" s="286"/>
      <c r="BY343" s="289"/>
      <c r="BZ343" s="289"/>
      <c r="CA343" s="289"/>
      <c r="CB343" s="289"/>
      <c r="CC343" s="289"/>
      <c r="CD343" s="289"/>
      <c r="CE343" s="289"/>
      <c r="CF343" s="289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6"/>
      <c r="CT343" s="6"/>
      <c r="CU343" s="6"/>
      <c r="CV343" s="6"/>
      <c r="CW343" s="6"/>
      <c r="CX343" s="6"/>
      <c r="CY343" s="6"/>
      <c r="CZ343" s="6"/>
      <c r="DA343" s="343">
        <f t="shared" si="10"/>
        <v>77</v>
      </c>
    </row>
    <row r="344" spans="1:105" ht="20" customHeight="1" x14ac:dyDescent="0.35">
      <c r="A344" s="290"/>
      <c r="B344" s="270" t="s">
        <v>944</v>
      </c>
      <c r="C344" s="270" t="s">
        <v>1469</v>
      </c>
      <c r="D344" s="297" t="s">
        <v>34</v>
      </c>
      <c r="E344" s="270" t="s">
        <v>693</v>
      </c>
      <c r="F344" s="270" t="s">
        <v>1824</v>
      </c>
      <c r="G344" s="270" t="s">
        <v>42</v>
      </c>
      <c r="H344" s="298">
        <f>H343/6</f>
        <v>12.833333333333334</v>
      </c>
      <c r="I344" s="292">
        <v>0</v>
      </c>
      <c r="J344" s="300"/>
      <c r="K344" s="286"/>
      <c r="L344" s="286"/>
      <c r="M344" s="286"/>
      <c r="N344" s="292">
        <v>14.2</v>
      </c>
      <c r="O344" s="286">
        <v>0</v>
      </c>
      <c r="P344" s="286">
        <v>0</v>
      </c>
      <c r="Q344" s="286">
        <v>0</v>
      </c>
      <c r="R344" s="286"/>
      <c r="S344" s="286">
        <v>17</v>
      </c>
      <c r="T344" s="300"/>
      <c r="U344" s="286"/>
      <c r="V344" s="286"/>
      <c r="W344" s="286"/>
      <c r="X344" s="286"/>
      <c r="Y344" s="286"/>
      <c r="Z344" s="286">
        <v>15</v>
      </c>
      <c r="AA344" s="286"/>
      <c r="AB344" s="286"/>
      <c r="AC344" s="286"/>
      <c r="AD344" s="286"/>
      <c r="AE344" s="286">
        <v>17</v>
      </c>
      <c r="AF344" s="286"/>
      <c r="AG344" s="286"/>
      <c r="AH344" s="286"/>
      <c r="AI344" s="286"/>
      <c r="AJ344" s="286"/>
      <c r="AK344" s="287"/>
      <c r="AL344" s="288"/>
      <c r="AM344" s="287"/>
      <c r="AN344" s="287"/>
      <c r="AO344" s="287"/>
      <c r="AP344" s="286"/>
      <c r="AQ344" s="29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286"/>
      <c r="BB344" s="286"/>
      <c r="BC344" s="286"/>
      <c r="BD344" s="287"/>
      <c r="BE344" s="287"/>
      <c r="BF344" s="287"/>
      <c r="BG344" s="287"/>
      <c r="BH344" s="287"/>
      <c r="BI344" s="287"/>
      <c r="BJ344" s="287"/>
      <c r="BK344" s="287"/>
      <c r="BL344" s="287"/>
      <c r="BM344" s="287"/>
      <c r="BN344" s="287"/>
      <c r="BO344" s="287"/>
      <c r="BP344" s="287"/>
      <c r="BQ344" s="287"/>
      <c r="BR344" s="287"/>
      <c r="BS344" s="287"/>
      <c r="BT344" s="287"/>
      <c r="BU344" s="287"/>
      <c r="BV344" s="287"/>
      <c r="BW344" s="287"/>
      <c r="BX344" s="286"/>
      <c r="BY344" s="289"/>
      <c r="BZ344" s="289"/>
      <c r="CA344" s="289"/>
      <c r="CB344" s="289"/>
      <c r="CC344" s="289"/>
      <c r="CD344" s="289"/>
      <c r="CE344" s="289"/>
      <c r="CF344" s="289"/>
      <c r="CG344" s="305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>
        <v>16</v>
      </c>
      <c r="CS344" s="6"/>
      <c r="CT344" s="6"/>
      <c r="CU344" s="6"/>
      <c r="CV344" s="6"/>
      <c r="CW344" s="6"/>
      <c r="CX344" s="6"/>
      <c r="CY344" s="6"/>
      <c r="CZ344" s="6"/>
      <c r="DA344" s="343">
        <f t="shared" si="10"/>
        <v>12.833333333333334</v>
      </c>
    </row>
    <row r="345" spans="1:105" ht="20" customHeight="1" x14ac:dyDescent="0.35">
      <c r="A345" s="290"/>
      <c r="B345" s="270" t="s">
        <v>946</v>
      </c>
      <c r="C345" s="270" t="s">
        <v>1469</v>
      </c>
      <c r="D345" s="297" t="s">
        <v>655</v>
      </c>
      <c r="E345" s="270" t="s">
        <v>41</v>
      </c>
      <c r="F345" s="270" t="s">
        <v>545</v>
      </c>
      <c r="G345" s="270" t="s">
        <v>36</v>
      </c>
      <c r="H345" s="298">
        <v>100</v>
      </c>
      <c r="I345" s="292"/>
      <c r="J345" s="300"/>
      <c r="K345" s="286"/>
      <c r="L345" s="286"/>
      <c r="M345" s="286"/>
      <c r="N345" s="286"/>
      <c r="O345" s="286">
        <v>111</v>
      </c>
      <c r="P345" s="286"/>
      <c r="Q345" s="286"/>
      <c r="R345" s="286"/>
      <c r="S345" s="286"/>
      <c r="T345" s="300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7"/>
      <c r="AL345" s="288"/>
      <c r="AM345" s="287"/>
      <c r="AN345" s="287"/>
      <c r="AO345" s="287"/>
      <c r="AP345" s="286"/>
      <c r="AQ345" s="29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286"/>
      <c r="BB345" s="286"/>
      <c r="BC345" s="286"/>
      <c r="BD345" s="287"/>
      <c r="BE345" s="287"/>
      <c r="BF345" s="287"/>
      <c r="BG345" s="287"/>
      <c r="BH345" s="287"/>
      <c r="BI345" s="287"/>
      <c r="BJ345" s="287"/>
      <c r="BK345" s="287"/>
      <c r="BL345" s="287"/>
      <c r="BM345" s="287"/>
      <c r="BN345" s="287"/>
      <c r="BO345" s="287"/>
      <c r="BP345" s="287"/>
      <c r="BQ345" s="287"/>
      <c r="BR345" s="287"/>
      <c r="BS345" s="287"/>
      <c r="BT345" s="287"/>
      <c r="BU345" s="287"/>
      <c r="BV345" s="287"/>
      <c r="BW345" s="287"/>
      <c r="BX345" s="286"/>
      <c r="BY345" s="289"/>
      <c r="BZ345" s="289"/>
      <c r="CA345" s="289"/>
      <c r="CB345" s="289"/>
      <c r="CC345" s="289"/>
      <c r="CD345" s="289"/>
      <c r="CE345" s="289"/>
      <c r="CF345" s="289"/>
      <c r="CG345" s="305"/>
      <c r="CH345" s="287"/>
      <c r="CI345" s="287"/>
      <c r="CJ345" s="287"/>
      <c r="CK345" s="287"/>
      <c r="CL345" s="287"/>
      <c r="CM345" s="287"/>
      <c r="CN345" s="287"/>
      <c r="CO345" s="287"/>
      <c r="CP345" s="287"/>
      <c r="CQ345" s="287"/>
      <c r="CR345" s="287"/>
      <c r="CS345" s="6"/>
      <c r="CT345" s="6"/>
      <c r="CU345" s="6"/>
      <c r="CV345" s="6"/>
      <c r="CW345" s="6"/>
      <c r="CX345" s="6"/>
      <c r="CY345" s="6"/>
      <c r="CZ345" s="6"/>
      <c r="DA345" s="343">
        <f t="shared" si="10"/>
        <v>100</v>
      </c>
    </row>
    <row r="346" spans="1:105" ht="20" customHeight="1" x14ac:dyDescent="0.35">
      <c r="A346" s="290"/>
      <c r="B346" s="270" t="s">
        <v>947</v>
      </c>
      <c r="C346" s="270" t="s">
        <v>1469</v>
      </c>
      <c r="D346" s="297" t="s">
        <v>655</v>
      </c>
      <c r="E346" s="270" t="s">
        <v>41</v>
      </c>
      <c r="F346" s="270" t="s">
        <v>85</v>
      </c>
      <c r="G346" s="270" t="s">
        <v>42</v>
      </c>
      <c r="H346" s="298">
        <f>H345/6</f>
        <v>16.666666666666668</v>
      </c>
      <c r="I346" s="300">
        <v>19</v>
      </c>
      <c r="J346" s="286"/>
      <c r="K346" s="286"/>
      <c r="L346" s="286">
        <v>20</v>
      </c>
      <c r="M346" s="400"/>
      <c r="N346" s="292">
        <v>19.5</v>
      </c>
      <c r="O346" s="286">
        <v>20</v>
      </c>
      <c r="P346" s="292">
        <v>19.5</v>
      </c>
      <c r="Q346" s="286">
        <v>20</v>
      </c>
      <c r="R346" s="286">
        <v>20</v>
      </c>
      <c r="S346" s="286"/>
      <c r="T346" s="286"/>
      <c r="U346" s="286"/>
      <c r="V346" s="286"/>
      <c r="W346" s="286"/>
      <c r="X346" s="286"/>
      <c r="Y346" s="286"/>
      <c r="Z346" s="286">
        <v>20</v>
      </c>
      <c r="AA346" s="286"/>
      <c r="AB346" s="286">
        <v>19.5</v>
      </c>
      <c r="AC346" s="286">
        <v>19.5</v>
      </c>
      <c r="AD346" s="286"/>
      <c r="AE346" s="286">
        <v>19.5</v>
      </c>
      <c r="AF346" s="286"/>
      <c r="AG346" s="286"/>
      <c r="AH346" s="286"/>
      <c r="AI346" s="286"/>
      <c r="AJ346" s="286">
        <v>19.5</v>
      </c>
      <c r="AK346" s="295">
        <v>19.5</v>
      </c>
      <c r="AL346" s="288"/>
      <c r="AM346" s="287"/>
      <c r="AN346" s="287"/>
      <c r="AO346" s="287"/>
      <c r="AP346" s="286"/>
      <c r="AQ346" s="296">
        <v>19.5</v>
      </c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286"/>
      <c r="BB346" s="286"/>
      <c r="BC346" s="286"/>
      <c r="BD346" s="287"/>
      <c r="BE346" s="287"/>
      <c r="BF346" s="287"/>
      <c r="BG346" s="288">
        <v>20</v>
      </c>
      <c r="BH346" s="287"/>
      <c r="BI346" s="287"/>
      <c r="BJ346" s="287"/>
      <c r="BK346" s="287"/>
      <c r="BL346" s="287"/>
      <c r="BM346" s="287"/>
      <c r="BN346" s="287"/>
      <c r="BO346" s="287"/>
      <c r="BP346" s="287"/>
      <c r="BQ346" s="287"/>
      <c r="BR346" s="287"/>
      <c r="BS346" s="287"/>
      <c r="BT346" s="287"/>
      <c r="BU346" s="287">
        <v>19.5</v>
      </c>
      <c r="BV346" s="287"/>
      <c r="BW346" s="287"/>
      <c r="BX346" s="286"/>
      <c r="BY346" s="289">
        <v>20</v>
      </c>
      <c r="BZ346" s="289">
        <v>20</v>
      </c>
      <c r="CA346" s="289"/>
      <c r="CB346" s="289"/>
      <c r="CC346" s="289"/>
      <c r="CD346" s="289"/>
      <c r="CE346" s="289"/>
      <c r="CF346" s="289"/>
      <c r="CG346" s="287"/>
      <c r="CH346" s="287"/>
      <c r="CI346" s="287"/>
      <c r="CJ346" s="287"/>
      <c r="CK346" s="287"/>
      <c r="CL346" s="287"/>
      <c r="CM346" s="287"/>
      <c r="CN346" s="287"/>
      <c r="CO346" s="287"/>
      <c r="CP346" s="287"/>
      <c r="CQ346" s="287">
        <v>21</v>
      </c>
      <c r="CR346" s="287">
        <v>20</v>
      </c>
      <c r="CS346" s="296">
        <v>18</v>
      </c>
      <c r="CT346" s="6"/>
      <c r="CU346" s="6"/>
      <c r="CV346" s="6"/>
      <c r="CW346" s="6"/>
      <c r="CX346" s="6"/>
      <c r="CY346" s="6"/>
      <c r="CZ346" s="6"/>
      <c r="DA346" s="343">
        <f t="shared" si="10"/>
        <v>16.666666666666668</v>
      </c>
    </row>
    <row r="347" spans="1:105" ht="20" customHeight="1" x14ac:dyDescent="0.35">
      <c r="A347" s="290"/>
      <c r="B347" s="270" t="s">
        <v>948</v>
      </c>
      <c r="C347" s="270" t="s">
        <v>1553</v>
      </c>
      <c r="D347" s="297" t="s">
        <v>655</v>
      </c>
      <c r="E347" s="270" t="s">
        <v>41</v>
      </c>
      <c r="F347" s="270" t="s">
        <v>545</v>
      </c>
      <c r="G347" s="270" t="s">
        <v>36</v>
      </c>
      <c r="H347" s="298">
        <v>46.5</v>
      </c>
      <c r="I347" s="292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7"/>
      <c r="AL347" s="288"/>
      <c r="AM347" s="287"/>
      <c r="AN347" s="287"/>
      <c r="AO347" s="287"/>
      <c r="AP347" s="286"/>
      <c r="AQ347" s="29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286"/>
      <c r="BB347" s="286"/>
      <c r="BC347" s="286"/>
      <c r="BD347" s="287"/>
      <c r="BE347" s="287"/>
      <c r="BF347" s="287"/>
      <c r="BG347" s="287"/>
      <c r="BH347" s="287"/>
      <c r="BI347" s="287"/>
      <c r="BJ347" s="287"/>
      <c r="BK347" s="287"/>
      <c r="BL347" s="287"/>
      <c r="BM347" s="287"/>
      <c r="BN347" s="287"/>
      <c r="BO347" s="287"/>
      <c r="BP347" s="287"/>
      <c r="BQ347" s="287"/>
      <c r="BR347" s="287"/>
      <c r="BS347" s="287"/>
      <c r="BT347" s="287"/>
      <c r="BU347" s="287"/>
      <c r="BV347" s="287"/>
      <c r="BW347" s="287"/>
      <c r="BX347" s="286"/>
      <c r="BY347" s="289"/>
      <c r="BZ347" s="289"/>
      <c r="CA347" s="289"/>
      <c r="CB347" s="289"/>
      <c r="CC347" s="289"/>
      <c r="CD347" s="289"/>
      <c r="CE347" s="289"/>
      <c r="CF347" s="289"/>
      <c r="CG347" s="287"/>
      <c r="CH347" s="287"/>
      <c r="CI347" s="287"/>
      <c r="CJ347" s="287"/>
      <c r="CK347" s="287"/>
      <c r="CL347" s="287"/>
      <c r="CM347" s="287"/>
      <c r="CN347" s="287"/>
      <c r="CO347" s="287"/>
      <c r="CP347" s="287"/>
      <c r="CQ347" s="287">
        <v>10</v>
      </c>
      <c r="CR347" s="287"/>
      <c r="CS347" s="6"/>
      <c r="CT347" s="6"/>
      <c r="CU347" s="6"/>
      <c r="CV347" s="6"/>
      <c r="CW347" s="6"/>
      <c r="CX347" s="6"/>
      <c r="CY347" s="6"/>
      <c r="CZ347" s="6"/>
      <c r="DA347" s="343">
        <f t="shared" si="10"/>
        <v>46.5</v>
      </c>
    </row>
    <row r="348" spans="1:105" ht="20" customHeight="1" x14ac:dyDescent="0.35">
      <c r="A348" s="290" t="s">
        <v>106</v>
      </c>
      <c r="B348" s="270" t="s">
        <v>949</v>
      </c>
      <c r="C348" s="270" t="s">
        <v>1553</v>
      </c>
      <c r="D348" s="297" t="s">
        <v>655</v>
      </c>
      <c r="E348" s="270" t="s">
        <v>41</v>
      </c>
      <c r="F348" s="270" t="s">
        <v>1807</v>
      </c>
      <c r="G348" s="270" t="s">
        <v>42</v>
      </c>
      <c r="H348" s="298">
        <f>H347/6</f>
        <v>7.75</v>
      </c>
      <c r="I348" s="292">
        <v>9.5</v>
      </c>
      <c r="J348" s="292">
        <v>9.5</v>
      </c>
      <c r="K348" s="286"/>
      <c r="L348" s="286">
        <v>10</v>
      </c>
      <c r="M348" s="286"/>
      <c r="N348" s="292">
        <v>10</v>
      </c>
      <c r="O348" s="286"/>
      <c r="P348" s="292">
        <v>10</v>
      </c>
      <c r="Q348" s="286">
        <v>10</v>
      </c>
      <c r="R348" s="286">
        <v>10</v>
      </c>
      <c r="S348" s="286">
        <v>10.5</v>
      </c>
      <c r="T348" s="287">
        <v>9.5</v>
      </c>
      <c r="U348" s="286"/>
      <c r="V348" s="294"/>
      <c r="W348" s="286"/>
      <c r="X348" s="286"/>
      <c r="Y348" s="286">
        <v>10</v>
      </c>
      <c r="Z348" s="286">
        <v>9.5</v>
      </c>
      <c r="AA348" s="286"/>
      <c r="AB348" s="286">
        <v>10</v>
      </c>
      <c r="AC348" s="286">
        <v>10</v>
      </c>
      <c r="AD348" s="286"/>
      <c r="AE348" s="286">
        <v>10</v>
      </c>
      <c r="AF348" s="286"/>
      <c r="AG348" s="286"/>
      <c r="AH348" s="286"/>
      <c r="AI348" s="286"/>
      <c r="AJ348" s="286">
        <v>10</v>
      </c>
      <c r="AK348" s="295">
        <v>10</v>
      </c>
      <c r="AL348" s="288"/>
      <c r="AM348" s="287"/>
      <c r="AN348" s="287"/>
      <c r="AO348" s="287"/>
      <c r="AP348" s="287"/>
      <c r="AQ348" s="322">
        <v>10</v>
      </c>
      <c r="AR348" s="286">
        <v>9.5</v>
      </c>
      <c r="AS348" s="286"/>
      <c r="AT348" s="287"/>
      <c r="AU348" s="287"/>
      <c r="AV348" s="292">
        <v>9.5</v>
      </c>
      <c r="AW348" s="287"/>
      <c r="AX348" s="287"/>
      <c r="AY348" s="287"/>
      <c r="AZ348" s="287"/>
      <c r="BA348" s="287"/>
      <c r="BB348" s="287"/>
      <c r="BC348" s="287"/>
      <c r="BD348" s="287"/>
      <c r="BE348" s="287"/>
      <c r="BF348" s="287"/>
      <c r="BG348" s="288">
        <v>10.5</v>
      </c>
      <c r="BH348" s="287">
        <v>9.5</v>
      </c>
      <c r="BI348" s="287"/>
      <c r="BJ348" s="287">
        <v>10.5</v>
      </c>
      <c r="BK348" s="287"/>
      <c r="BL348" s="287"/>
      <c r="BM348" s="287"/>
      <c r="BN348" s="287"/>
      <c r="BO348" s="287"/>
      <c r="BP348" s="287"/>
      <c r="BQ348" s="287"/>
      <c r="BR348" s="287"/>
      <c r="BS348" s="287"/>
      <c r="BT348" s="287"/>
      <c r="BU348" s="287"/>
      <c r="BV348" s="287"/>
      <c r="BW348" s="287"/>
      <c r="BX348" s="286"/>
      <c r="BY348" s="289"/>
      <c r="BZ348" s="289">
        <v>10</v>
      </c>
      <c r="CA348" s="289"/>
      <c r="CB348" s="289"/>
      <c r="CC348" s="289"/>
      <c r="CD348" s="289"/>
      <c r="CE348" s="289"/>
      <c r="CF348" s="289"/>
      <c r="CG348" s="305"/>
      <c r="CH348" s="287"/>
      <c r="CI348" s="287"/>
      <c r="CJ348" s="287"/>
      <c r="CK348" s="287"/>
      <c r="CL348" s="287"/>
      <c r="CM348" s="287"/>
      <c r="CN348" s="287"/>
      <c r="CO348" s="287"/>
      <c r="CP348" s="287"/>
      <c r="CQ348" s="287"/>
      <c r="CR348" s="287"/>
      <c r="CS348" s="296">
        <v>9.5</v>
      </c>
      <c r="CT348" s="6"/>
      <c r="CU348" s="6"/>
      <c r="CV348" s="6"/>
      <c r="CW348" s="6"/>
      <c r="CX348" s="6"/>
      <c r="CY348" s="6"/>
      <c r="CZ348" s="6"/>
      <c r="DA348" s="343">
        <f t="shared" si="10"/>
        <v>7.75</v>
      </c>
    </row>
    <row r="349" spans="1:105" ht="20" customHeight="1" x14ac:dyDescent="0.35">
      <c r="A349" s="290" t="s">
        <v>1805</v>
      </c>
      <c r="B349" s="270" t="s">
        <v>1546</v>
      </c>
      <c r="C349" s="270" t="s">
        <v>1553</v>
      </c>
      <c r="D349" s="297" t="s">
        <v>655</v>
      </c>
      <c r="E349" s="270" t="s">
        <v>41</v>
      </c>
      <c r="F349" s="270" t="s">
        <v>85</v>
      </c>
      <c r="G349" s="270" t="s">
        <v>42</v>
      </c>
      <c r="H349" s="298">
        <f>H347/6</f>
        <v>7.75</v>
      </c>
      <c r="I349" s="292"/>
      <c r="J349" s="287"/>
      <c r="K349" s="286"/>
      <c r="L349" s="286"/>
      <c r="M349" s="286"/>
      <c r="N349" s="292"/>
      <c r="O349" s="286"/>
      <c r="P349" s="292"/>
      <c r="Q349" s="286"/>
      <c r="R349" s="286"/>
      <c r="S349" s="286"/>
      <c r="T349" s="287"/>
      <c r="U349" s="286"/>
      <c r="V349" s="294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95"/>
      <c r="AL349" s="288"/>
      <c r="AM349" s="287"/>
      <c r="AN349" s="287"/>
      <c r="AO349" s="287"/>
      <c r="AP349" s="287"/>
      <c r="AQ349" s="322"/>
      <c r="AR349" s="287"/>
      <c r="AS349" s="286"/>
      <c r="AT349" s="287"/>
      <c r="AU349" s="287"/>
      <c r="AV349" s="287"/>
      <c r="AW349" s="287"/>
      <c r="AX349" s="287"/>
      <c r="AY349" s="287"/>
      <c r="AZ349" s="287"/>
      <c r="BA349" s="287"/>
      <c r="BB349" s="287"/>
      <c r="BC349" s="287"/>
      <c r="BD349" s="287"/>
      <c r="BE349" s="287"/>
      <c r="BF349" s="287"/>
      <c r="BG349" s="288"/>
      <c r="BH349" s="287"/>
      <c r="BI349" s="287"/>
      <c r="BJ349" s="287"/>
      <c r="BK349" s="287"/>
      <c r="BL349" s="287"/>
      <c r="BM349" s="287"/>
      <c r="BN349" s="287"/>
      <c r="BO349" s="287"/>
      <c r="BP349" s="287"/>
      <c r="BQ349" s="287"/>
      <c r="BR349" s="287"/>
      <c r="BS349" s="287"/>
      <c r="BT349" s="287"/>
      <c r="BU349" s="287"/>
      <c r="BV349" s="287"/>
      <c r="BW349" s="287"/>
      <c r="BX349" s="286"/>
      <c r="BY349" s="289"/>
      <c r="BZ349" s="289"/>
      <c r="CA349" s="289"/>
      <c r="CB349" s="289"/>
      <c r="CC349" s="289"/>
      <c r="CD349" s="289"/>
      <c r="CE349" s="289"/>
      <c r="CF349" s="289">
        <v>10</v>
      </c>
      <c r="CG349" s="305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/>
      <c r="CR349" s="287"/>
      <c r="CS349" s="323"/>
      <c r="CT349" s="6"/>
      <c r="CU349" s="6"/>
      <c r="CV349" s="6"/>
      <c r="CW349" s="6"/>
      <c r="CX349" s="6"/>
      <c r="CY349" s="6"/>
      <c r="CZ349" s="6"/>
      <c r="DA349" s="343">
        <f t="shared" si="10"/>
        <v>7.75</v>
      </c>
    </row>
    <row r="350" spans="1:105" ht="20" customHeight="1" x14ac:dyDescent="0.35">
      <c r="A350" s="290"/>
      <c r="B350" s="270" t="s">
        <v>950</v>
      </c>
      <c r="C350" s="270" t="s">
        <v>1657</v>
      </c>
      <c r="D350" s="297" t="s">
        <v>655</v>
      </c>
      <c r="E350" s="270" t="s">
        <v>41</v>
      </c>
      <c r="F350" s="270" t="s">
        <v>545</v>
      </c>
      <c r="G350" s="270" t="s">
        <v>36</v>
      </c>
      <c r="H350" s="298">
        <v>46</v>
      </c>
      <c r="I350" s="292"/>
      <c r="J350" s="300"/>
      <c r="K350" s="286"/>
      <c r="L350" s="286"/>
      <c r="M350" s="286"/>
      <c r="N350" s="286"/>
      <c r="O350" s="286"/>
      <c r="P350" s="286"/>
      <c r="Q350" s="286"/>
      <c r="R350" s="286"/>
      <c r="S350" s="286"/>
      <c r="T350" s="300"/>
      <c r="U350" s="286"/>
      <c r="V350" s="294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7"/>
      <c r="AL350" s="288"/>
      <c r="AM350" s="287"/>
      <c r="AN350" s="287"/>
      <c r="AO350" s="287"/>
      <c r="AP350" s="286"/>
      <c r="AQ350" s="29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286"/>
      <c r="BB350" s="286"/>
      <c r="BC350" s="286"/>
      <c r="BD350" s="287"/>
      <c r="BE350" s="287"/>
      <c r="BF350" s="287"/>
      <c r="BG350" s="287"/>
      <c r="BH350" s="287"/>
      <c r="BI350" s="287"/>
      <c r="BJ350" s="287"/>
      <c r="BK350" s="287"/>
      <c r="BL350" s="287"/>
      <c r="BM350" s="287"/>
      <c r="BN350" s="287"/>
      <c r="BO350" s="287"/>
      <c r="BP350" s="287"/>
      <c r="BQ350" s="287"/>
      <c r="BR350" s="287"/>
      <c r="BS350" s="287"/>
      <c r="BT350" s="287"/>
      <c r="BU350" s="287"/>
      <c r="BV350" s="287"/>
      <c r="BW350" s="287"/>
      <c r="BX350" s="286"/>
      <c r="BY350" s="289"/>
      <c r="BZ350" s="289"/>
      <c r="CA350" s="289"/>
      <c r="CB350" s="289"/>
      <c r="CC350" s="289"/>
      <c r="CD350" s="289"/>
      <c r="CE350" s="289"/>
      <c r="CF350" s="289"/>
      <c r="CG350" s="305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6"/>
      <c r="CT350" s="6"/>
      <c r="CU350" s="6"/>
      <c r="CV350" s="6"/>
      <c r="CW350" s="6"/>
      <c r="CX350" s="6"/>
      <c r="CY350" s="6"/>
      <c r="CZ350" s="6"/>
      <c r="DA350" s="343">
        <f t="shared" si="10"/>
        <v>46</v>
      </c>
    </row>
    <row r="351" spans="1:105" ht="20" customHeight="1" x14ac:dyDescent="0.35">
      <c r="A351" s="290"/>
      <c r="B351" s="270" t="s">
        <v>951</v>
      </c>
      <c r="C351" s="270" t="s">
        <v>1657</v>
      </c>
      <c r="D351" s="297" t="s">
        <v>655</v>
      </c>
      <c r="E351" s="270" t="s">
        <v>41</v>
      </c>
      <c r="F351" s="270" t="s">
        <v>85</v>
      </c>
      <c r="G351" s="270" t="s">
        <v>42</v>
      </c>
      <c r="H351" s="298">
        <f>H350/6</f>
        <v>7.666666666666667</v>
      </c>
      <c r="I351" s="292">
        <v>9.8000000000000007</v>
      </c>
      <c r="J351" s="292">
        <v>9.5</v>
      </c>
      <c r="K351" s="286"/>
      <c r="L351" s="286"/>
      <c r="M351" s="286"/>
      <c r="N351" s="286"/>
      <c r="O351" s="286"/>
      <c r="P351" s="286"/>
      <c r="Q351" s="286"/>
      <c r="R351" s="286"/>
      <c r="S351" s="286"/>
      <c r="T351" s="286">
        <v>9.5</v>
      </c>
      <c r="U351" s="286"/>
      <c r="V351" s="294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95">
        <v>10.5</v>
      </c>
      <c r="AL351" s="288"/>
      <c r="AM351" s="287"/>
      <c r="AN351" s="287"/>
      <c r="AO351" s="287"/>
      <c r="AP351" s="286"/>
      <c r="AQ351" s="29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286"/>
      <c r="BB351" s="286"/>
      <c r="BC351" s="286"/>
      <c r="BD351" s="287"/>
      <c r="BE351" s="287"/>
      <c r="BF351" s="287"/>
      <c r="BG351" s="288">
        <v>11</v>
      </c>
      <c r="BH351" s="287"/>
      <c r="BI351" s="287"/>
      <c r="BJ351" s="287"/>
      <c r="BK351" s="287"/>
      <c r="BL351" s="287"/>
      <c r="BM351" s="287"/>
      <c r="BN351" s="287"/>
      <c r="BO351" s="287"/>
      <c r="BP351" s="287"/>
      <c r="BQ351" s="287"/>
      <c r="BR351" s="287"/>
      <c r="BS351" s="287"/>
      <c r="BT351" s="287"/>
      <c r="BU351" s="287"/>
      <c r="BV351" s="287"/>
      <c r="BW351" s="287"/>
      <c r="BX351" s="286"/>
      <c r="BY351" s="289"/>
      <c r="BZ351" s="289"/>
      <c r="CA351" s="289"/>
      <c r="CB351" s="289"/>
      <c r="CC351" s="289"/>
      <c r="CD351" s="289"/>
      <c r="CE351" s="289"/>
      <c r="CF351" s="289"/>
      <c r="CG351" s="287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>
        <v>10</v>
      </c>
      <c r="CR351" s="287"/>
      <c r="CS351" s="296">
        <v>9.8000000000000007</v>
      </c>
      <c r="CT351" s="6"/>
      <c r="CU351" s="6"/>
      <c r="CV351" s="6"/>
      <c r="CW351" s="6"/>
      <c r="CX351" s="6"/>
      <c r="CY351" s="6"/>
      <c r="CZ351" s="6"/>
      <c r="DA351" s="343">
        <f t="shared" si="10"/>
        <v>7.666666666666667</v>
      </c>
    </row>
    <row r="352" spans="1:105" ht="20" customHeight="1" x14ac:dyDescent="0.35">
      <c r="A352" s="290"/>
      <c r="B352" s="270" t="s">
        <v>952</v>
      </c>
      <c r="C352" s="270" t="s">
        <v>1566</v>
      </c>
      <c r="D352" s="297" t="s">
        <v>655</v>
      </c>
      <c r="E352" s="270" t="s">
        <v>41</v>
      </c>
      <c r="F352" s="270" t="s">
        <v>545</v>
      </c>
      <c r="G352" s="270" t="s">
        <v>36</v>
      </c>
      <c r="H352" s="298">
        <v>42</v>
      </c>
      <c r="I352" s="292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94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7"/>
      <c r="AL352" s="288"/>
      <c r="AM352" s="287"/>
      <c r="AN352" s="287"/>
      <c r="AO352" s="287"/>
      <c r="AP352" s="286"/>
      <c r="AQ352" s="29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  <c r="BC352" s="286"/>
      <c r="BD352" s="287"/>
      <c r="BE352" s="287"/>
      <c r="BF352" s="287"/>
      <c r="BG352" s="287"/>
      <c r="BH352" s="287"/>
      <c r="BI352" s="287"/>
      <c r="BJ352" s="287"/>
      <c r="BK352" s="287"/>
      <c r="BL352" s="287"/>
      <c r="BM352" s="287"/>
      <c r="BN352" s="287"/>
      <c r="BO352" s="287"/>
      <c r="BP352" s="287"/>
      <c r="BQ352" s="287"/>
      <c r="BR352" s="287"/>
      <c r="BS352" s="287"/>
      <c r="BT352" s="287"/>
      <c r="BU352" s="287"/>
      <c r="BV352" s="287"/>
      <c r="BW352" s="287"/>
      <c r="BX352" s="286"/>
      <c r="BY352" s="289"/>
      <c r="BZ352" s="289"/>
      <c r="CA352" s="289"/>
      <c r="CB352" s="289"/>
      <c r="CC352" s="289"/>
      <c r="CD352" s="289"/>
      <c r="CE352" s="289"/>
      <c r="CF352" s="289"/>
      <c r="CG352" s="287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6"/>
      <c r="CT352" s="6"/>
      <c r="CU352" s="6"/>
      <c r="CV352" s="6"/>
      <c r="CW352" s="6"/>
      <c r="CX352" s="6"/>
      <c r="CY352" s="6"/>
      <c r="CZ352" s="6"/>
      <c r="DA352" s="343">
        <f t="shared" si="10"/>
        <v>42</v>
      </c>
    </row>
    <row r="353" spans="1:105" ht="20" customHeight="1" x14ac:dyDescent="0.35">
      <c r="A353" s="290" t="s">
        <v>1214</v>
      </c>
      <c r="B353" s="270" t="s">
        <v>953</v>
      </c>
      <c r="C353" s="270" t="s">
        <v>1566</v>
      </c>
      <c r="D353" s="297" t="s">
        <v>655</v>
      </c>
      <c r="E353" s="270" t="s">
        <v>41</v>
      </c>
      <c r="F353" s="270" t="s">
        <v>85</v>
      </c>
      <c r="G353" s="270" t="s">
        <v>42</v>
      </c>
      <c r="H353" s="298">
        <f>H352/6</f>
        <v>7</v>
      </c>
      <c r="I353" s="292">
        <v>10</v>
      </c>
      <c r="J353" s="292">
        <v>10</v>
      </c>
      <c r="K353" s="286"/>
      <c r="L353" s="286">
        <v>10</v>
      </c>
      <c r="M353" s="286"/>
      <c r="N353" s="286"/>
      <c r="O353" s="286"/>
      <c r="P353" s="292">
        <v>10</v>
      </c>
      <c r="Q353" s="286">
        <v>10</v>
      </c>
      <c r="R353" s="286">
        <v>10</v>
      </c>
      <c r="S353" s="286"/>
      <c r="T353" s="286">
        <v>10</v>
      </c>
      <c r="U353" s="286"/>
      <c r="V353" s="294"/>
      <c r="W353" s="286"/>
      <c r="X353" s="286"/>
      <c r="Y353" s="286">
        <v>10</v>
      </c>
      <c r="Z353" s="286">
        <v>10</v>
      </c>
      <c r="AA353" s="286"/>
      <c r="AB353" s="286">
        <v>10</v>
      </c>
      <c r="AC353" s="286">
        <v>10</v>
      </c>
      <c r="AD353" s="286"/>
      <c r="AE353" s="286"/>
      <c r="AF353" s="286"/>
      <c r="AG353" s="286"/>
      <c r="AH353" s="286"/>
      <c r="AI353" s="286"/>
      <c r="AJ353" s="286">
        <v>9.5</v>
      </c>
      <c r="AK353" s="295">
        <v>10.5</v>
      </c>
      <c r="AL353" s="288">
        <v>10</v>
      </c>
      <c r="AM353" s="287"/>
      <c r="AN353" s="287"/>
      <c r="AO353" s="292">
        <v>10</v>
      </c>
      <c r="AP353" s="286">
        <v>10</v>
      </c>
      <c r="AQ353" s="296">
        <v>11.5</v>
      </c>
      <c r="AR353" s="286">
        <v>10</v>
      </c>
      <c r="AS353" s="286"/>
      <c r="AT353" s="286">
        <v>10</v>
      </c>
      <c r="AU353" s="286">
        <v>10</v>
      </c>
      <c r="AV353" s="286">
        <v>10</v>
      </c>
      <c r="AW353" s="286">
        <v>10</v>
      </c>
      <c r="AX353" s="286">
        <v>10</v>
      </c>
      <c r="AY353" s="286">
        <v>10</v>
      </c>
      <c r="AZ353" s="286">
        <v>10</v>
      </c>
      <c r="BA353" s="286">
        <v>10</v>
      </c>
      <c r="BB353" s="286">
        <v>10</v>
      </c>
      <c r="BC353" s="286">
        <v>10</v>
      </c>
      <c r="BD353" s="287"/>
      <c r="BE353" s="287"/>
      <c r="BF353" s="287"/>
      <c r="BG353" s="288">
        <v>10.5</v>
      </c>
      <c r="BH353" s="287">
        <v>10</v>
      </c>
      <c r="BI353" s="287"/>
      <c r="BJ353" s="287"/>
      <c r="BK353" s="287"/>
      <c r="BL353" s="287"/>
      <c r="BM353" s="287"/>
      <c r="BN353" s="287"/>
      <c r="BO353" s="287"/>
      <c r="BP353" s="287"/>
      <c r="BQ353" s="287"/>
      <c r="BR353" s="287"/>
      <c r="BS353" s="287">
        <f>11/110*100</f>
        <v>10</v>
      </c>
      <c r="BT353" s="287"/>
      <c r="BU353" s="287"/>
      <c r="BV353" s="287"/>
      <c r="BW353" s="287"/>
      <c r="BX353" s="286"/>
      <c r="BY353" s="289"/>
      <c r="BZ353" s="289">
        <v>10</v>
      </c>
      <c r="CA353" s="289"/>
      <c r="CB353" s="289"/>
      <c r="CC353" s="289"/>
      <c r="CD353" s="289"/>
      <c r="CE353" s="289"/>
      <c r="CF353" s="289">
        <v>10</v>
      </c>
      <c r="CG353" s="287"/>
      <c r="CH353" s="287"/>
      <c r="CI353" s="287"/>
      <c r="CJ353" s="287">
        <v>9.4</v>
      </c>
      <c r="CK353" s="287"/>
      <c r="CL353" s="287"/>
      <c r="CM353" s="292">
        <v>10</v>
      </c>
      <c r="CN353" s="292">
        <v>10</v>
      </c>
      <c r="CO353" s="292">
        <v>10</v>
      </c>
      <c r="CP353" s="287"/>
      <c r="CQ353" s="287">
        <v>10</v>
      </c>
      <c r="CR353" s="287"/>
      <c r="CS353" s="296">
        <v>10</v>
      </c>
      <c r="CT353" s="6"/>
      <c r="CU353" s="6"/>
      <c r="CV353" s="6"/>
      <c r="CW353" s="6"/>
      <c r="CX353" s="6"/>
      <c r="CY353" s="6"/>
      <c r="CZ353" s="6"/>
      <c r="DA353" s="343">
        <f t="shared" si="10"/>
        <v>7</v>
      </c>
    </row>
    <row r="354" spans="1:105" ht="20" customHeight="1" x14ac:dyDescent="0.35">
      <c r="A354" s="290" t="s">
        <v>73</v>
      </c>
      <c r="B354" s="270" t="s">
        <v>954</v>
      </c>
      <c r="C354" s="270" t="s">
        <v>1567</v>
      </c>
      <c r="D354" s="297" t="s">
        <v>655</v>
      </c>
      <c r="E354" s="270" t="s">
        <v>567</v>
      </c>
      <c r="F354" s="270" t="s">
        <v>2036</v>
      </c>
      <c r="G354" s="270" t="s">
        <v>36</v>
      </c>
      <c r="H354" s="298">
        <f>4200/215</f>
        <v>19.534883720930232</v>
      </c>
      <c r="I354" s="300"/>
      <c r="J354" s="286"/>
      <c r="K354" s="286"/>
      <c r="L354" s="300">
        <v>26</v>
      </c>
      <c r="M354" s="401"/>
      <c r="N354" s="292"/>
      <c r="O354" s="286"/>
      <c r="P354" s="292">
        <v>26</v>
      </c>
      <c r="Q354" s="300">
        <v>26</v>
      </c>
      <c r="R354" s="300"/>
      <c r="S354" s="286">
        <v>26</v>
      </c>
      <c r="T354" s="286"/>
      <c r="U354" s="286"/>
      <c r="V354" s="313"/>
      <c r="W354" s="286"/>
      <c r="X354" s="300"/>
      <c r="Y354" s="286"/>
      <c r="Z354" s="300">
        <v>26</v>
      </c>
      <c r="AA354" s="286"/>
      <c r="AB354" s="300">
        <v>26</v>
      </c>
      <c r="AC354" s="286">
        <v>26</v>
      </c>
      <c r="AD354" s="286"/>
      <c r="AE354" s="286"/>
      <c r="AF354" s="300"/>
      <c r="AG354" s="286"/>
      <c r="AH354" s="286"/>
      <c r="AI354" s="286"/>
      <c r="AJ354" s="300"/>
      <c r="AK354" s="295">
        <v>26</v>
      </c>
      <c r="AL354" s="286"/>
      <c r="AM354" s="299">
        <v>26</v>
      </c>
      <c r="AN354" s="287"/>
      <c r="AO354" s="286"/>
      <c r="AP354" s="286"/>
      <c r="AQ354" s="322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286"/>
      <c r="BB354" s="286"/>
      <c r="BC354" s="286"/>
      <c r="BD354" s="287"/>
      <c r="BE354" s="287"/>
      <c r="BF354" s="287">
        <v>26</v>
      </c>
      <c r="BG354" s="288">
        <v>26</v>
      </c>
      <c r="BH354" s="286"/>
      <c r="BI354" s="287"/>
      <c r="BJ354" s="287"/>
      <c r="BK354" s="287"/>
      <c r="BL354" s="287"/>
      <c r="BM354" s="287"/>
      <c r="BN354" s="287"/>
      <c r="BO354" s="287"/>
      <c r="BP354" s="287"/>
      <c r="BQ354" s="287"/>
      <c r="BR354" s="287"/>
      <c r="BS354" s="287"/>
      <c r="BT354" s="287"/>
      <c r="BU354" s="287">
        <v>26</v>
      </c>
      <c r="BV354" s="287"/>
      <c r="BW354" s="287"/>
      <c r="BX354" s="300">
        <f>J354</f>
        <v>0</v>
      </c>
      <c r="BY354" s="289">
        <v>26</v>
      </c>
      <c r="BZ354" s="289"/>
      <c r="CA354" s="289"/>
      <c r="CB354" s="289"/>
      <c r="CC354" s="289"/>
      <c r="CD354" s="289"/>
      <c r="CE354" s="289"/>
      <c r="CF354" s="289"/>
      <c r="CG354" s="305"/>
      <c r="CH354" s="287"/>
      <c r="CI354" s="287"/>
      <c r="CJ354" s="287"/>
      <c r="CK354" s="287"/>
      <c r="CL354" s="287"/>
      <c r="CM354" s="286"/>
      <c r="CN354" s="286"/>
      <c r="CO354" s="292"/>
      <c r="CP354" s="287"/>
      <c r="CQ354" s="287">
        <v>26</v>
      </c>
      <c r="CR354" s="287">
        <v>26</v>
      </c>
      <c r="CS354" s="296">
        <v>26</v>
      </c>
      <c r="CT354" s="6"/>
      <c r="CU354" s="6"/>
      <c r="CV354" s="6"/>
      <c r="CW354" s="6"/>
      <c r="CX354" s="6"/>
      <c r="CY354" s="6"/>
      <c r="CZ354" s="6"/>
      <c r="DA354" s="343">
        <f t="shared" si="10"/>
        <v>19.534883720930232</v>
      </c>
    </row>
    <row r="355" spans="1:105" ht="20" customHeight="1" x14ac:dyDescent="0.35">
      <c r="A355" s="290"/>
      <c r="B355" s="270" t="s">
        <v>955</v>
      </c>
      <c r="C355" s="270" t="s">
        <v>1567</v>
      </c>
      <c r="D355" s="297" t="s">
        <v>655</v>
      </c>
      <c r="E355" s="270" t="s">
        <v>1486</v>
      </c>
      <c r="F355" s="270" t="s">
        <v>2036</v>
      </c>
      <c r="G355" s="270" t="s">
        <v>36</v>
      </c>
      <c r="H355" s="298">
        <v>18</v>
      </c>
      <c r="I355" s="292">
        <v>22</v>
      </c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94"/>
      <c r="W355" s="286"/>
      <c r="X355" s="286"/>
      <c r="Y355" s="286"/>
      <c r="Z355" s="286"/>
      <c r="AA355" s="286"/>
      <c r="AB355" s="286"/>
      <c r="AC355" s="286">
        <v>24</v>
      </c>
      <c r="AD355" s="286"/>
      <c r="AE355" s="286"/>
      <c r="AF355" s="286"/>
      <c r="AG355" s="286"/>
      <c r="AH355" s="286"/>
      <c r="AI355" s="286"/>
      <c r="AJ355" s="286"/>
      <c r="AK355" s="287"/>
      <c r="AL355" s="286"/>
      <c r="AM355" s="287"/>
      <c r="AN355" s="287"/>
      <c r="AO355" s="286"/>
      <c r="AP355" s="286"/>
      <c r="AQ355" s="296"/>
      <c r="AR355" s="286"/>
      <c r="AS355" s="286"/>
      <c r="AT355" s="286"/>
      <c r="AU355" s="286"/>
      <c r="AV355" s="286"/>
      <c r="AW355" s="286"/>
      <c r="AX355" s="286"/>
      <c r="AY355" s="286"/>
      <c r="AZ355" s="286"/>
      <c r="BA355" s="286"/>
      <c r="BB355" s="286"/>
      <c r="BC355" s="286"/>
      <c r="BD355" s="287"/>
      <c r="BE355" s="287"/>
      <c r="BF355" s="287"/>
      <c r="BG355" s="287"/>
      <c r="BH355" s="286"/>
      <c r="BI355" s="287"/>
      <c r="BJ355" s="287"/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6"/>
      <c r="BY355" s="289"/>
      <c r="BZ355" s="289"/>
      <c r="CA355" s="289"/>
      <c r="CB355" s="289"/>
      <c r="CC355" s="289"/>
      <c r="CD355" s="289"/>
      <c r="CE355" s="289"/>
      <c r="CF355" s="289"/>
      <c r="CG355" s="287"/>
      <c r="CH355" s="287"/>
      <c r="CI355" s="287"/>
      <c r="CJ355" s="287"/>
      <c r="CK355" s="287"/>
      <c r="CL355" s="287"/>
      <c r="CM355" s="286"/>
      <c r="CN355" s="286"/>
      <c r="CO355" s="286"/>
      <c r="CP355" s="287"/>
      <c r="CQ355" s="287">
        <v>22</v>
      </c>
      <c r="CR355" s="287"/>
      <c r="CS355" s="296">
        <v>23</v>
      </c>
      <c r="CT355" s="6"/>
      <c r="CU355" s="6"/>
      <c r="CV355" s="6"/>
      <c r="CW355" s="6"/>
      <c r="CX355" s="6"/>
      <c r="CY355" s="6"/>
      <c r="CZ355" s="6"/>
      <c r="DA355" s="343">
        <f t="shared" si="10"/>
        <v>18</v>
      </c>
    </row>
    <row r="356" spans="1:105" ht="20" customHeight="1" x14ac:dyDescent="0.35">
      <c r="A356" s="290" t="s">
        <v>1746</v>
      </c>
      <c r="B356" s="270" t="s">
        <v>956</v>
      </c>
      <c r="C356" s="270" t="s">
        <v>1568</v>
      </c>
      <c r="D356" s="297" t="s">
        <v>653</v>
      </c>
      <c r="E356" s="270" t="s">
        <v>533</v>
      </c>
      <c r="F356" s="270" t="s">
        <v>2059</v>
      </c>
      <c r="G356" s="270" t="s">
        <v>36</v>
      </c>
      <c r="H356" s="298">
        <v>33</v>
      </c>
      <c r="I356" s="300">
        <v>43</v>
      </c>
      <c r="J356" s="286"/>
      <c r="K356" s="286"/>
      <c r="L356" s="286"/>
      <c r="M356" s="286"/>
      <c r="N356" s="286"/>
      <c r="O356" s="286"/>
      <c r="P356" s="300"/>
      <c r="Q356" s="300"/>
      <c r="R356" s="292">
        <v>45</v>
      </c>
      <c r="S356" s="300"/>
      <c r="T356" s="286"/>
      <c r="U356" s="286"/>
      <c r="V356" s="313"/>
      <c r="W356" s="286"/>
      <c r="X356" s="286"/>
      <c r="Y356" s="286"/>
      <c r="Z356" s="286"/>
      <c r="AA356" s="286"/>
      <c r="AB356" s="286"/>
      <c r="AC356" s="300"/>
      <c r="AD356" s="286"/>
      <c r="AE356" s="286"/>
      <c r="AF356" s="286"/>
      <c r="AG356" s="286"/>
      <c r="AH356" s="286"/>
      <c r="AI356" s="286"/>
      <c r="AJ356" s="286"/>
      <c r="AK356" s="287"/>
      <c r="AL356" s="288"/>
      <c r="AM356" s="287"/>
      <c r="AN356" s="287"/>
      <c r="AO356" s="287"/>
      <c r="AP356" s="286"/>
      <c r="AQ356" s="296"/>
      <c r="AR356" s="286"/>
      <c r="AS356" s="286"/>
      <c r="AT356" s="286"/>
      <c r="AU356" s="286"/>
      <c r="AV356" s="286"/>
      <c r="AW356" s="286"/>
      <c r="AX356" s="286"/>
      <c r="AY356" s="286"/>
      <c r="AZ356" s="286"/>
      <c r="BA356" s="286"/>
      <c r="BB356" s="286"/>
      <c r="BC356" s="286"/>
      <c r="BD356" s="287"/>
      <c r="BE356" s="287"/>
      <c r="BF356" s="287"/>
      <c r="BG356" s="288">
        <v>40</v>
      </c>
      <c r="BH356" s="287"/>
      <c r="BI356" s="287"/>
      <c r="BJ356" s="287"/>
      <c r="BK356" s="287"/>
      <c r="BL356" s="287"/>
      <c r="BM356" s="287"/>
      <c r="BN356" s="287"/>
      <c r="BO356" s="287"/>
      <c r="BP356" s="287"/>
      <c r="BQ356" s="287"/>
      <c r="BR356" s="287"/>
      <c r="BS356" s="287"/>
      <c r="BT356" s="287"/>
      <c r="BU356" s="287"/>
      <c r="BV356" s="287"/>
      <c r="BW356" s="287"/>
      <c r="BX356" s="286"/>
      <c r="BY356" s="289"/>
      <c r="BZ356" s="289"/>
      <c r="CA356" s="289"/>
      <c r="CB356" s="289"/>
      <c r="CC356" s="289"/>
      <c r="CD356" s="289"/>
      <c r="CE356" s="289"/>
      <c r="CF356" s="289"/>
      <c r="CG356" s="287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>
        <v>45</v>
      </c>
      <c r="CS356" s="6"/>
      <c r="CT356" s="6"/>
      <c r="CU356" s="6"/>
      <c r="CV356" s="6"/>
      <c r="CW356" s="6"/>
      <c r="CX356" s="6"/>
      <c r="CY356" s="6"/>
      <c r="CZ356" s="6"/>
      <c r="DA356" s="343">
        <f t="shared" si="10"/>
        <v>33</v>
      </c>
    </row>
    <row r="357" spans="1:105" ht="20" customHeight="1" x14ac:dyDescent="0.35">
      <c r="A357" s="290"/>
      <c r="B357" s="270" t="s">
        <v>957</v>
      </c>
      <c r="C357" s="270" t="s">
        <v>1568</v>
      </c>
      <c r="D357" s="297" t="s">
        <v>653</v>
      </c>
      <c r="E357" s="270" t="s">
        <v>533</v>
      </c>
      <c r="F357" s="270" t="s">
        <v>1882</v>
      </c>
      <c r="G357" s="270" t="s">
        <v>36</v>
      </c>
      <c r="H357" s="298">
        <f>H356/2</f>
        <v>16.5</v>
      </c>
      <c r="I357" s="292"/>
      <c r="J357" s="286"/>
      <c r="K357" s="286"/>
      <c r="L357" s="286">
        <v>0</v>
      </c>
      <c r="M357" s="286"/>
      <c r="N357" s="286"/>
      <c r="O357" s="286"/>
      <c r="P357" s="300"/>
      <c r="Q357" s="300"/>
      <c r="R357" s="300"/>
      <c r="S357" s="300"/>
      <c r="T357" s="286"/>
      <c r="U357" s="286"/>
      <c r="V357" s="313"/>
      <c r="W357" s="286"/>
      <c r="X357" s="286"/>
      <c r="Y357" s="286"/>
      <c r="Z357" s="286"/>
      <c r="AA357" s="286"/>
      <c r="AB357" s="286"/>
      <c r="AC357" s="300"/>
      <c r="AD357" s="286"/>
      <c r="AE357" s="286"/>
      <c r="AF357" s="286"/>
      <c r="AG357" s="286"/>
      <c r="AH357" s="286"/>
      <c r="AI357" s="286"/>
      <c r="AJ357" s="286"/>
      <c r="AK357" s="295"/>
      <c r="AL357" s="288"/>
      <c r="AM357" s="287"/>
      <c r="AN357" s="287"/>
      <c r="AO357" s="287"/>
      <c r="AP357" s="286"/>
      <c r="AQ357" s="29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286"/>
      <c r="BB357" s="286"/>
      <c r="BC357" s="286"/>
      <c r="BD357" s="287"/>
      <c r="BE357" s="287"/>
      <c r="BF357" s="287"/>
      <c r="BG357" s="287"/>
      <c r="BH357" s="287"/>
      <c r="BI357" s="287"/>
      <c r="BJ357" s="287"/>
      <c r="BK357" s="287"/>
      <c r="BL357" s="287"/>
      <c r="BM357" s="287"/>
      <c r="BN357" s="287"/>
      <c r="BO357" s="287"/>
      <c r="BP357" s="287"/>
      <c r="BQ357" s="287"/>
      <c r="BR357" s="287"/>
      <c r="BS357" s="287"/>
      <c r="BT357" s="287"/>
      <c r="BU357" s="287"/>
      <c r="BV357" s="287"/>
      <c r="BW357" s="287"/>
      <c r="BX357" s="286"/>
      <c r="BY357" s="289"/>
      <c r="BZ357" s="289"/>
      <c r="CA357" s="289"/>
      <c r="CB357" s="289"/>
      <c r="CC357" s="289"/>
      <c r="CD357" s="289"/>
      <c r="CE357" s="289"/>
      <c r="CF357" s="289"/>
      <c r="CG357" s="287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>
        <v>22</v>
      </c>
      <c r="CR357" s="287"/>
      <c r="CS357" s="296">
        <v>21</v>
      </c>
      <c r="CT357" s="6"/>
      <c r="CU357" s="6"/>
      <c r="CV357" s="6"/>
      <c r="CW357" s="6"/>
      <c r="CX357" s="6"/>
      <c r="CY357" s="6"/>
      <c r="CZ357" s="6"/>
      <c r="DA357" s="343">
        <f t="shared" si="10"/>
        <v>16.5</v>
      </c>
    </row>
    <row r="358" spans="1:105" ht="20" customHeight="1" x14ac:dyDescent="0.35">
      <c r="A358" s="290" t="s">
        <v>2124</v>
      </c>
      <c r="B358" s="270" t="s">
        <v>957</v>
      </c>
      <c r="C358" s="270" t="s">
        <v>1568</v>
      </c>
      <c r="D358" s="297" t="s">
        <v>653</v>
      </c>
      <c r="E358" s="270" t="s">
        <v>533</v>
      </c>
      <c r="F358" s="270" t="s">
        <v>1882</v>
      </c>
      <c r="G358" s="270" t="s">
        <v>36</v>
      </c>
      <c r="H358" s="298">
        <f>H357/2</f>
        <v>8.25</v>
      </c>
      <c r="I358" s="292"/>
      <c r="J358" s="286"/>
      <c r="K358" s="286"/>
      <c r="L358" s="286">
        <v>0</v>
      </c>
      <c r="M358" s="286"/>
      <c r="N358" s="286"/>
      <c r="O358" s="286"/>
      <c r="P358" s="300"/>
      <c r="Q358" s="300"/>
      <c r="R358" s="300"/>
      <c r="S358" s="300"/>
      <c r="T358" s="286"/>
      <c r="U358" s="286"/>
      <c r="V358" s="313"/>
      <c r="W358" s="286"/>
      <c r="X358" s="286"/>
      <c r="Y358" s="286"/>
      <c r="Z358" s="286"/>
      <c r="AA358" s="286"/>
      <c r="AB358" s="286"/>
      <c r="AC358" s="300"/>
      <c r="AD358" s="286"/>
      <c r="AE358" s="286"/>
      <c r="AF358" s="286"/>
      <c r="AG358" s="286"/>
      <c r="AH358" s="286"/>
      <c r="AI358" s="286"/>
      <c r="AJ358" s="286"/>
      <c r="AK358" s="295"/>
      <c r="AL358" s="288"/>
      <c r="AM358" s="287"/>
      <c r="AN358" s="287"/>
      <c r="AO358" s="287"/>
      <c r="AP358" s="286"/>
      <c r="AQ358" s="29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286"/>
      <c r="BB358" s="286"/>
      <c r="BC358" s="286"/>
      <c r="BD358" s="287"/>
      <c r="BE358" s="287"/>
      <c r="BF358" s="287"/>
      <c r="BG358" s="287"/>
      <c r="BH358" s="287"/>
      <c r="BI358" s="287"/>
      <c r="BJ358" s="287"/>
      <c r="BK358" s="287"/>
      <c r="BL358" s="287"/>
      <c r="BM358" s="287"/>
      <c r="BN358" s="287"/>
      <c r="BO358" s="287"/>
      <c r="BP358" s="287"/>
      <c r="BQ358" s="287"/>
      <c r="BR358" s="287"/>
      <c r="BS358" s="287"/>
      <c r="BT358" s="287"/>
      <c r="BU358" s="287"/>
      <c r="BV358" s="287"/>
      <c r="BW358" s="287"/>
      <c r="BX358" s="286"/>
      <c r="BY358" s="289"/>
      <c r="BZ358" s="289"/>
      <c r="CA358" s="289"/>
      <c r="CB358" s="289"/>
      <c r="CC358" s="289"/>
      <c r="CD358" s="289"/>
      <c r="CE358" s="289"/>
      <c r="CF358" s="289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>
        <v>22</v>
      </c>
      <c r="CR358" s="287"/>
      <c r="CS358" s="296">
        <v>21</v>
      </c>
      <c r="CT358" s="6"/>
      <c r="CU358" s="6"/>
      <c r="CV358" s="6"/>
      <c r="CW358" s="6"/>
      <c r="CX358" s="6"/>
      <c r="CY358" s="6"/>
      <c r="CZ358" s="6"/>
      <c r="DA358" s="343">
        <f t="shared" ref="DA358" si="12">H358</f>
        <v>8.25</v>
      </c>
    </row>
    <row r="359" spans="1:105" ht="20" customHeight="1" x14ac:dyDescent="0.35">
      <c r="A359" s="290"/>
      <c r="B359" s="270" t="s">
        <v>958</v>
      </c>
      <c r="C359" s="270" t="s">
        <v>1568</v>
      </c>
      <c r="D359" s="297" t="s">
        <v>653</v>
      </c>
      <c r="E359" s="270" t="s">
        <v>533</v>
      </c>
      <c r="F359" s="270" t="s">
        <v>959</v>
      </c>
      <c r="G359" s="270" t="s">
        <v>42</v>
      </c>
      <c r="H359" s="298">
        <f>H356/24</f>
        <v>1.375</v>
      </c>
      <c r="I359" s="292"/>
      <c r="J359" s="286"/>
      <c r="K359" s="286"/>
      <c r="L359" s="286"/>
      <c r="M359" s="286"/>
      <c r="N359" s="286"/>
      <c r="O359" s="286"/>
      <c r="P359" s="300"/>
      <c r="Q359" s="300"/>
      <c r="R359" s="300"/>
      <c r="S359" s="300"/>
      <c r="T359" s="286"/>
      <c r="U359" s="286"/>
      <c r="V359" s="313"/>
      <c r="W359" s="286"/>
      <c r="X359" s="286"/>
      <c r="Y359" s="286"/>
      <c r="Z359" s="286"/>
      <c r="AA359" s="286"/>
      <c r="AB359" s="286"/>
      <c r="AC359" s="300"/>
      <c r="AD359" s="286"/>
      <c r="AE359" s="286"/>
      <c r="AF359" s="286"/>
      <c r="AG359" s="286"/>
      <c r="AH359" s="286"/>
      <c r="AI359" s="286"/>
      <c r="AJ359" s="286"/>
      <c r="AK359" s="287"/>
      <c r="AL359" s="288"/>
      <c r="AM359" s="287"/>
      <c r="AN359" s="287"/>
      <c r="AO359" s="287"/>
      <c r="AP359" s="286"/>
      <c r="AQ359" s="29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286"/>
      <c r="BB359" s="286"/>
      <c r="BC359" s="286"/>
      <c r="BD359" s="287"/>
      <c r="BE359" s="287"/>
      <c r="BF359" s="287"/>
      <c r="BG359" s="287"/>
      <c r="BH359" s="287"/>
      <c r="BI359" s="287"/>
      <c r="BJ359" s="287"/>
      <c r="BK359" s="287"/>
      <c r="BL359" s="287"/>
      <c r="BM359" s="287"/>
      <c r="BN359" s="287"/>
      <c r="BO359" s="287"/>
      <c r="BP359" s="287"/>
      <c r="BQ359" s="287"/>
      <c r="BR359" s="287"/>
      <c r="BS359" s="287"/>
      <c r="BT359" s="287"/>
      <c r="BU359" s="287"/>
      <c r="BV359" s="287"/>
      <c r="BW359" s="287"/>
      <c r="BX359" s="286"/>
      <c r="BY359" s="289"/>
      <c r="BZ359" s="289"/>
      <c r="CA359" s="289"/>
      <c r="CB359" s="289"/>
      <c r="CC359" s="289"/>
      <c r="CD359" s="289"/>
      <c r="CE359" s="289"/>
      <c r="CF359" s="289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6"/>
      <c r="CT359" s="6"/>
      <c r="CU359" s="6"/>
      <c r="CV359" s="6"/>
      <c r="CW359" s="6"/>
      <c r="CX359" s="6"/>
      <c r="CY359" s="6"/>
      <c r="CZ359" s="6"/>
      <c r="DA359" s="343">
        <f t="shared" si="10"/>
        <v>1.375</v>
      </c>
    </row>
    <row r="360" spans="1:105" ht="20" customHeight="1" x14ac:dyDescent="0.35">
      <c r="A360" s="290">
        <v>520728</v>
      </c>
      <c r="B360" s="270" t="s">
        <v>960</v>
      </c>
      <c r="C360" s="270" t="s">
        <v>1568</v>
      </c>
      <c r="D360" s="297" t="s">
        <v>655</v>
      </c>
      <c r="E360" s="270" t="s">
        <v>386</v>
      </c>
      <c r="F360" s="270" t="s">
        <v>451</v>
      </c>
      <c r="G360" s="270" t="s">
        <v>36</v>
      </c>
      <c r="H360" s="298">
        <v>20</v>
      </c>
      <c r="I360" s="292">
        <v>24</v>
      </c>
      <c r="J360" s="286"/>
      <c r="K360" s="286"/>
      <c r="L360" s="286"/>
      <c r="M360" s="286"/>
      <c r="N360" s="286"/>
      <c r="O360" s="286"/>
      <c r="P360" s="292">
        <v>25</v>
      </c>
      <c r="Q360" s="286">
        <v>25</v>
      </c>
      <c r="R360" s="286">
        <v>25</v>
      </c>
      <c r="S360" s="286">
        <v>26</v>
      </c>
      <c r="T360" s="286"/>
      <c r="U360" s="286"/>
      <c r="V360" s="294"/>
      <c r="W360" s="286"/>
      <c r="X360" s="286"/>
      <c r="Y360" s="286">
        <v>26</v>
      </c>
      <c r="Z360" s="286"/>
      <c r="AA360" s="286"/>
      <c r="AB360" s="286"/>
      <c r="AC360" s="286">
        <v>25</v>
      </c>
      <c r="AD360" s="286"/>
      <c r="AE360" s="286"/>
      <c r="AF360" s="286"/>
      <c r="AG360" s="286"/>
      <c r="AH360" s="286"/>
      <c r="AI360" s="286"/>
      <c r="AJ360" s="286"/>
      <c r="AK360" s="295">
        <v>25</v>
      </c>
      <c r="AL360" s="288"/>
      <c r="AM360" s="287">
        <v>25</v>
      </c>
      <c r="AN360" s="287"/>
      <c r="AO360" s="287"/>
      <c r="AP360" s="286"/>
      <c r="AQ360" s="296"/>
      <c r="AR360" s="286"/>
      <c r="AS360" s="286"/>
      <c r="AT360" s="286"/>
      <c r="AU360" s="286"/>
      <c r="AV360" s="286"/>
      <c r="AW360" s="286"/>
      <c r="AX360" s="286"/>
      <c r="AY360" s="286"/>
      <c r="AZ360" s="286"/>
      <c r="BA360" s="286"/>
      <c r="BB360" s="286"/>
      <c r="BC360" s="286"/>
      <c r="BD360" s="287"/>
      <c r="BE360" s="287"/>
      <c r="BF360" s="287"/>
      <c r="BG360" s="288">
        <v>25</v>
      </c>
      <c r="BH360" s="287"/>
      <c r="BI360" s="287"/>
      <c r="BJ360" s="287"/>
      <c r="BK360" s="287"/>
      <c r="BL360" s="287"/>
      <c r="BM360" s="287"/>
      <c r="BN360" s="287"/>
      <c r="BO360" s="287"/>
      <c r="BP360" s="287"/>
      <c r="BQ360" s="287"/>
      <c r="BR360" s="287"/>
      <c r="BS360" s="287"/>
      <c r="BT360" s="287"/>
      <c r="BU360" s="287"/>
      <c r="BV360" s="287"/>
      <c r="BW360" s="287"/>
      <c r="BX360" s="286"/>
      <c r="BY360" s="289"/>
      <c r="BZ360" s="289">
        <v>25</v>
      </c>
      <c r="CA360" s="289"/>
      <c r="CB360" s="289"/>
      <c r="CC360" s="289"/>
      <c r="CD360" s="289"/>
      <c r="CE360" s="289"/>
      <c r="CF360" s="289"/>
      <c r="CG360" s="287"/>
      <c r="CH360" s="287"/>
      <c r="CI360" s="287"/>
      <c r="CJ360" s="287"/>
      <c r="CK360" s="287"/>
      <c r="CL360" s="287"/>
      <c r="CM360" s="287"/>
      <c r="CN360" s="287"/>
      <c r="CO360" s="287"/>
      <c r="CP360" s="287"/>
      <c r="CQ360" s="287">
        <v>26</v>
      </c>
      <c r="CR360" s="287">
        <v>26</v>
      </c>
      <c r="CS360" s="296">
        <v>25</v>
      </c>
      <c r="CT360" s="6"/>
      <c r="CU360" s="6"/>
      <c r="CV360" s="6"/>
      <c r="CW360" s="6"/>
      <c r="CX360" s="6"/>
      <c r="CY360" s="6"/>
      <c r="CZ360" s="6"/>
      <c r="DA360" s="343">
        <f>H360</f>
        <v>20</v>
      </c>
    </row>
    <row r="361" spans="1:105" ht="20" customHeight="1" x14ac:dyDescent="0.35">
      <c r="A361" s="290" t="s">
        <v>2182</v>
      </c>
      <c r="B361" s="270" t="s">
        <v>960</v>
      </c>
      <c r="C361" s="270" t="s">
        <v>1568</v>
      </c>
      <c r="D361" s="297" t="s">
        <v>655</v>
      </c>
      <c r="E361" s="270" t="s">
        <v>386</v>
      </c>
      <c r="F361" s="270" t="s">
        <v>451</v>
      </c>
      <c r="G361" s="270" t="s">
        <v>36</v>
      </c>
      <c r="H361" s="298">
        <v>20</v>
      </c>
      <c r="I361" s="292"/>
      <c r="J361" s="286"/>
      <c r="K361" s="286"/>
      <c r="L361" s="286"/>
      <c r="M361" s="286"/>
      <c r="N361" s="286"/>
      <c r="O361" s="286"/>
      <c r="P361" s="292"/>
      <c r="Q361" s="286"/>
      <c r="R361" s="286"/>
      <c r="S361" s="286"/>
      <c r="T361" s="286"/>
      <c r="U361" s="286"/>
      <c r="V361" s="294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95"/>
      <c r="AL361" s="288"/>
      <c r="AM361" s="287"/>
      <c r="AN361" s="287"/>
      <c r="AO361" s="287"/>
      <c r="AP361" s="286"/>
      <c r="AQ361" s="296"/>
      <c r="AR361" s="286"/>
      <c r="AS361" s="286"/>
      <c r="AT361" s="286"/>
      <c r="AU361" s="286"/>
      <c r="AV361" s="286"/>
      <c r="AW361" s="286"/>
      <c r="AX361" s="286"/>
      <c r="AY361" s="286"/>
      <c r="AZ361" s="286"/>
      <c r="BA361" s="286"/>
      <c r="BB361" s="286"/>
      <c r="BC361" s="286"/>
      <c r="BD361" s="287"/>
      <c r="BE361" s="287"/>
      <c r="BF361" s="287"/>
      <c r="BG361" s="288"/>
      <c r="BH361" s="287"/>
      <c r="BI361" s="287"/>
      <c r="BJ361" s="287"/>
      <c r="BK361" s="287"/>
      <c r="BL361" s="287"/>
      <c r="BM361" s="287"/>
      <c r="BN361" s="287"/>
      <c r="BO361" s="287"/>
      <c r="BP361" s="287"/>
      <c r="BQ361" s="287"/>
      <c r="BR361" s="287"/>
      <c r="BS361" s="287"/>
      <c r="BT361" s="287"/>
      <c r="BU361" s="287"/>
      <c r="BV361" s="287"/>
      <c r="BW361" s="287"/>
      <c r="BX361" s="286"/>
      <c r="BY361" s="289"/>
      <c r="BZ361" s="289"/>
      <c r="CA361" s="289"/>
      <c r="CB361" s="289"/>
      <c r="CC361" s="289"/>
      <c r="CD361" s="289"/>
      <c r="CE361" s="289"/>
      <c r="CF361" s="289"/>
      <c r="CG361" s="287"/>
      <c r="CH361" s="287"/>
      <c r="CI361" s="287"/>
      <c r="CJ361" s="287"/>
      <c r="CK361" s="287"/>
      <c r="CL361" s="287"/>
      <c r="CM361" s="287"/>
      <c r="CN361" s="287"/>
      <c r="CO361" s="287"/>
      <c r="CP361" s="287"/>
      <c r="CQ361" s="287">
        <v>26</v>
      </c>
      <c r="CR361" s="287"/>
      <c r="CS361" s="296">
        <v>25</v>
      </c>
      <c r="CT361" s="6"/>
      <c r="CU361" s="6"/>
      <c r="CV361" s="6"/>
      <c r="CW361" s="6"/>
      <c r="CX361" s="6"/>
      <c r="CY361" s="6"/>
      <c r="CZ361" s="6"/>
      <c r="DA361" s="343">
        <f>H361</f>
        <v>20</v>
      </c>
    </row>
    <row r="362" spans="1:105" ht="20" customHeight="1" x14ac:dyDescent="0.35">
      <c r="A362" s="290"/>
      <c r="B362" s="270" t="s">
        <v>961</v>
      </c>
      <c r="C362" s="270" t="s">
        <v>1568</v>
      </c>
      <c r="D362" s="297" t="s">
        <v>653</v>
      </c>
      <c r="E362" s="270" t="s">
        <v>43</v>
      </c>
      <c r="F362" s="270" t="s">
        <v>1313</v>
      </c>
      <c r="G362" s="270" t="s">
        <v>36</v>
      </c>
      <c r="H362" s="298">
        <v>16.5</v>
      </c>
      <c r="I362" s="292"/>
      <c r="J362" s="292">
        <v>22</v>
      </c>
      <c r="K362" s="286"/>
      <c r="L362" s="286"/>
      <c r="M362" s="286"/>
      <c r="N362" s="286"/>
      <c r="O362" s="286"/>
      <c r="P362" s="286">
        <v>0</v>
      </c>
      <c r="Q362" s="286"/>
      <c r="R362" s="286"/>
      <c r="S362" s="286"/>
      <c r="T362" s="286">
        <v>22</v>
      </c>
      <c r="U362" s="286"/>
      <c r="V362" s="294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>
        <v>22</v>
      </c>
      <c r="AJ362" s="286"/>
      <c r="AK362" s="287"/>
      <c r="AL362" s="288"/>
      <c r="AM362" s="287">
        <v>22</v>
      </c>
      <c r="AN362" s="287"/>
      <c r="AO362" s="287">
        <v>22</v>
      </c>
      <c r="AP362" s="286"/>
      <c r="AQ362" s="296"/>
      <c r="AR362" s="286">
        <v>22</v>
      </c>
      <c r="AS362" s="286"/>
      <c r="AT362" s="286">
        <v>22</v>
      </c>
      <c r="AU362" s="286"/>
      <c r="AV362" s="286">
        <v>22</v>
      </c>
      <c r="AW362" s="286"/>
      <c r="AX362" s="286"/>
      <c r="AY362" s="286">
        <v>22</v>
      </c>
      <c r="AZ362" s="286">
        <v>22</v>
      </c>
      <c r="BA362" s="286"/>
      <c r="BB362" s="286">
        <f>AZ362</f>
        <v>22</v>
      </c>
      <c r="BC362" s="286">
        <v>22</v>
      </c>
      <c r="BD362" s="287"/>
      <c r="BE362" s="286">
        <v>22</v>
      </c>
      <c r="BF362" s="287"/>
      <c r="BG362" s="287"/>
      <c r="BH362" s="287">
        <v>22</v>
      </c>
      <c r="BI362" s="287"/>
      <c r="BJ362" s="287"/>
      <c r="BK362" s="287"/>
      <c r="BL362" s="287"/>
      <c r="BM362" s="287"/>
      <c r="BN362" s="287"/>
      <c r="BO362" s="287"/>
      <c r="BP362" s="287"/>
      <c r="BQ362" s="287"/>
      <c r="BR362" s="287"/>
      <c r="BS362" s="287"/>
      <c r="BT362" s="287"/>
      <c r="BU362" s="287"/>
      <c r="BV362" s="287"/>
      <c r="BW362" s="287"/>
      <c r="BX362" s="286">
        <v>22</v>
      </c>
      <c r="BY362" s="289"/>
      <c r="BZ362" s="289"/>
      <c r="CA362" s="289"/>
      <c r="CB362" s="289"/>
      <c r="CC362" s="289"/>
      <c r="CD362" s="289"/>
      <c r="CE362" s="289"/>
      <c r="CF362" s="289"/>
      <c r="CG362" s="287"/>
      <c r="CH362" s="287"/>
      <c r="CI362" s="287"/>
      <c r="CJ362" s="287"/>
      <c r="CK362" s="287"/>
      <c r="CL362" s="287"/>
      <c r="CM362" s="292">
        <v>22</v>
      </c>
      <c r="CN362" s="292">
        <v>22</v>
      </c>
      <c r="CO362" s="287"/>
      <c r="CP362" s="287"/>
      <c r="CQ362" s="287"/>
      <c r="CR362" s="287">
        <v>24</v>
      </c>
      <c r="CS362" s="6"/>
      <c r="CT362" s="6"/>
      <c r="CU362" s="6"/>
      <c r="CV362" s="6"/>
      <c r="CW362" s="6"/>
      <c r="CX362" s="6"/>
      <c r="CY362" s="6"/>
      <c r="CZ362" s="6"/>
      <c r="DA362" s="343">
        <f t="shared" si="10"/>
        <v>16.5</v>
      </c>
    </row>
    <row r="363" spans="1:105" ht="20" customHeight="1" x14ac:dyDescent="0.35">
      <c r="A363" s="290"/>
      <c r="B363" s="270" t="s">
        <v>962</v>
      </c>
      <c r="C363" s="270" t="s">
        <v>1567</v>
      </c>
      <c r="D363" s="297" t="s">
        <v>655</v>
      </c>
      <c r="E363" s="132" t="s">
        <v>2158</v>
      </c>
      <c r="F363" s="132" t="s">
        <v>2159</v>
      </c>
      <c r="G363" s="270" t="s">
        <v>36</v>
      </c>
      <c r="H363" s="397">
        <v>17.579999999999998</v>
      </c>
      <c r="I363" s="292"/>
      <c r="J363" s="286"/>
      <c r="K363" s="286"/>
      <c r="L363" s="286"/>
      <c r="M363" s="286"/>
      <c r="N363" s="292">
        <v>24</v>
      </c>
      <c r="O363" s="286"/>
      <c r="P363" s="286"/>
      <c r="Q363" s="286"/>
      <c r="R363" s="286"/>
      <c r="S363" s="286"/>
      <c r="T363" s="286"/>
      <c r="U363" s="286"/>
      <c r="V363" s="294"/>
      <c r="W363" s="286"/>
      <c r="X363" s="286"/>
      <c r="Y363" s="286"/>
      <c r="Z363" s="286"/>
      <c r="AA363" s="286"/>
      <c r="AB363" s="286"/>
      <c r="AC363" s="300">
        <v>24</v>
      </c>
      <c r="AD363" s="286"/>
      <c r="AE363" s="286"/>
      <c r="AF363" s="286"/>
      <c r="AG363" s="286"/>
      <c r="AH363" s="286"/>
      <c r="AI363" s="286"/>
      <c r="AJ363" s="300"/>
      <c r="AK363" s="287"/>
      <c r="AL363" s="288"/>
      <c r="AM363" s="287"/>
      <c r="AN363" s="287"/>
      <c r="AO363" s="287"/>
      <c r="AP363" s="286"/>
      <c r="AQ363" s="29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286"/>
      <c r="BB363" s="286"/>
      <c r="BC363" s="286"/>
      <c r="BD363" s="287"/>
      <c r="BE363" s="287"/>
      <c r="BF363" s="287"/>
      <c r="BG363" s="287"/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  <c r="BU363" s="287"/>
      <c r="BV363" s="287"/>
      <c r="BW363" s="287"/>
      <c r="BX363" s="286"/>
      <c r="BY363" s="289"/>
      <c r="BZ363" s="289"/>
      <c r="CA363" s="289"/>
      <c r="CB363" s="289"/>
      <c r="CC363" s="289"/>
      <c r="CD363" s="289"/>
      <c r="CE363" s="289"/>
      <c r="CF363" s="289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/>
      <c r="CS363" s="6"/>
      <c r="CT363" s="6"/>
      <c r="CU363" s="6"/>
      <c r="CV363" s="6"/>
      <c r="CW363" s="6"/>
      <c r="CX363" s="6"/>
      <c r="CY363" s="6"/>
      <c r="CZ363" s="6"/>
      <c r="DA363" s="343">
        <f t="shared" si="10"/>
        <v>17.579999999999998</v>
      </c>
    </row>
    <row r="364" spans="1:105" ht="20" customHeight="1" x14ac:dyDescent="0.35">
      <c r="A364" s="290">
        <v>520719</v>
      </c>
      <c r="B364" s="270" t="s">
        <v>963</v>
      </c>
      <c r="C364" s="270" t="s">
        <v>1470</v>
      </c>
      <c r="D364" s="297" t="s">
        <v>655</v>
      </c>
      <c r="E364" s="270" t="s">
        <v>43</v>
      </c>
      <c r="F364" s="270" t="s">
        <v>1868</v>
      </c>
      <c r="G364" s="270" t="s">
        <v>36</v>
      </c>
      <c r="H364" s="349">
        <v>33</v>
      </c>
      <c r="I364" s="286">
        <v>37</v>
      </c>
      <c r="J364" s="286"/>
      <c r="K364" s="286"/>
      <c r="L364" s="286">
        <v>38</v>
      </c>
      <c r="M364" s="400"/>
      <c r="N364" s="286"/>
      <c r="O364" s="286"/>
      <c r="P364" s="292">
        <v>38</v>
      </c>
      <c r="Q364" s="286">
        <v>38</v>
      </c>
      <c r="R364" s="286">
        <v>38</v>
      </c>
      <c r="S364" s="300">
        <v>38</v>
      </c>
      <c r="T364" s="286"/>
      <c r="U364" s="286"/>
      <c r="V364" s="294"/>
      <c r="W364" s="286"/>
      <c r="X364" s="286"/>
      <c r="Y364" s="286"/>
      <c r="Z364" s="286"/>
      <c r="AA364" s="286"/>
      <c r="AB364" s="286">
        <v>38</v>
      </c>
      <c r="AC364" s="286">
        <v>38</v>
      </c>
      <c r="AD364" s="286"/>
      <c r="AE364" s="286"/>
      <c r="AF364" s="286"/>
      <c r="AG364" s="286"/>
      <c r="AH364" s="286"/>
      <c r="AI364" s="286"/>
      <c r="AJ364" s="286"/>
      <c r="AK364" s="295">
        <v>38</v>
      </c>
      <c r="AL364" s="288"/>
      <c r="AM364" s="287">
        <v>38</v>
      </c>
      <c r="AN364" s="287"/>
      <c r="AO364" s="287"/>
      <c r="AP364" s="286"/>
      <c r="AQ364" s="29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286"/>
      <c r="BB364" s="286"/>
      <c r="BC364" s="286"/>
      <c r="BD364" s="287"/>
      <c r="BE364" s="287"/>
      <c r="BF364" s="287"/>
      <c r="BG364" s="288">
        <v>38</v>
      </c>
      <c r="BH364" s="287"/>
      <c r="BI364" s="287"/>
      <c r="BJ364" s="287"/>
      <c r="BK364" s="287"/>
      <c r="BL364" s="287"/>
      <c r="BM364" s="287"/>
      <c r="BN364" s="287"/>
      <c r="BO364" s="287"/>
      <c r="BP364" s="287"/>
      <c r="BQ364" s="287"/>
      <c r="BR364" s="287"/>
      <c r="BS364" s="287"/>
      <c r="BT364" s="287"/>
      <c r="BU364" s="287">
        <v>38</v>
      </c>
      <c r="BV364" s="287"/>
      <c r="BW364" s="287"/>
      <c r="BX364" s="286"/>
      <c r="BY364" s="289"/>
      <c r="BZ364" s="289">
        <v>38</v>
      </c>
      <c r="CA364" s="289"/>
      <c r="CB364" s="289"/>
      <c r="CC364" s="289"/>
      <c r="CD364" s="289"/>
      <c r="CE364" s="289"/>
      <c r="CF364" s="289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>
        <v>38</v>
      </c>
      <c r="CR364" s="287"/>
      <c r="CS364" s="296">
        <v>38</v>
      </c>
      <c r="CT364" s="6"/>
      <c r="CU364" s="6"/>
      <c r="CV364" s="6"/>
      <c r="CW364" s="6"/>
      <c r="CX364" s="6"/>
      <c r="CY364" s="6"/>
      <c r="CZ364" s="6"/>
      <c r="DA364" s="343">
        <f t="shared" si="10"/>
        <v>33</v>
      </c>
    </row>
    <row r="365" spans="1:105" ht="20" customHeight="1" x14ac:dyDescent="0.35">
      <c r="A365" s="290" t="s">
        <v>2099</v>
      </c>
      <c r="B365" s="270" t="s">
        <v>963</v>
      </c>
      <c r="C365" s="270" t="s">
        <v>1470</v>
      </c>
      <c r="D365" s="297" t="s">
        <v>655</v>
      </c>
      <c r="E365" s="270" t="s">
        <v>43</v>
      </c>
      <c r="F365" s="270" t="s">
        <v>1868</v>
      </c>
      <c r="G365" s="270" t="s">
        <v>36</v>
      </c>
      <c r="H365" s="349">
        <v>33</v>
      </c>
      <c r="I365" s="286"/>
      <c r="J365" s="286"/>
      <c r="K365" s="286"/>
      <c r="L365" s="286"/>
      <c r="M365" s="286"/>
      <c r="N365" s="286"/>
      <c r="O365" s="286"/>
      <c r="P365" s="292"/>
      <c r="Q365" s="286"/>
      <c r="R365" s="286"/>
      <c r="S365" s="300"/>
      <c r="T365" s="286"/>
      <c r="U365" s="286"/>
      <c r="V365" s="294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95"/>
      <c r="AL365" s="288"/>
      <c r="AM365" s="287"/>
      <c r="AN365" s="287"/>
      <c r="AO365" s="287"/>
      <c r="AP365" s="286"/>
      <c r="AQ365" s="29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286"/>
      <c r="BB365" s="286"/>
      <c r="BC365" s="286"/>
      <c r="BD365" s="287"/>
      <c r="BE365" s="287"/>
      <c r="BF365" s="287"/>
      <c r="BG365" s="288"/>
      <c r="BH365" s="287"/>
      <c r="BI365" s="287"/>
      <c r="BJ365" s="287"/>
      <c r="BK365" s="287"/>
      <c r="BL365" s="287"/>
      <c r="BM365" s="287"/>
      <c r="BN365" s="287"/>
      <c r="BO365" s="287"/>
      <c r="BP365" s="287"/>
      <c r="BQ365" s="287"/>
      <c r="BR365" s="287"/>
      <c r="BS365" s="287"/>
      <c r="BT365" s="287"/>
      <c r="BU365" s="287"/>
      <c r="BV365" s="287"/>
      <c r="BW365" s="287"/>
      <c r="BX365" s="286"/>
      <c r="BY365" s="289"/>
      <c r="BZ365" s="289"/>
      <c r="CA365" s="289"/>
      <c r="CB365" s="289"/>
      <c r="CC365" s="289"/>
      <c r="CD365" s="289"/>
      <c r="CE365" s="289"/>
      <c r="CF365" s="289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>
        <v>38</v>
      </c>
      <c r="CR365" s="287"/>
      <c r="CS365" s="296">
        <v>38</v>
      </c>
      <c r="CT365" s="6"/>
      <c r="CU365" s="6"/>
      <c r="CV365" s="6"/>
      <c r="CW365" s="6"/>
      <c r="CX365" s="6"/>
      <c r="CY365" s="6"/>
      <c r="CZ365" s="6"/>
      <c r="DA365" s="343">
        <f>H365</f>
        <v>33</v>
      </c>
    </row>
    <row r="366" spans="1:105" ht="20" customHeight="1" x14ac:dyDescent="0.35">
      <c r="A366" s="290">
        <v>520711</v>
      </c>
      <c r="B366" s="270" t="s">
        <v>964</v>
      </c>
      <c r="C366" s="270" t="s">
        <v>1569</v>
      </c>
      <c r="D366" s="297" t="s">
        <v>655</v>
      </c>
      <c r="E366" s="270" t="s">
        <v>43</v>
      </c>
      <c r="F366" s="270" t="s">
        <v>1870</v>
      </c>
      <c r="G366" s="270" t="s">
        <v>36</v>
      </c>
      <c r="H366" s="298">
        <v>18</v>
      </c>
      <c r="I366" s="292">
        <v>23</v>
      </c>
      <c r="J366" s="286"/>
      <c r="K366" s="286"/>
      <c r="L366" s="286">
        <v>23</v>
      </c>
      <c r="M366" s="286"/>
      <c r="N366" s="292"/>
      <c r="O366" s="286"/>
      <c r="P366" s="292"/>
      <c r="Q366" s="286">
        <v>24</v>
      </c>
      <c r="R366" s="286">
        <v>23</v>
      </c>
      <c r="S366" s="286">
        <v>24</v>
      </c>
      <c r="T366" s="286"/>
      <c r="U366" s="286"/>
      <c r="V366" s="294"/>
      <c r="W366" s="286"/>
      <c r="X366" s="286"/>
      <c r="Y366" s="286"/>
      <c r="Z366" s="286"/>
      <c r="AA366" s="286"/>
      <c r="AB366" s="286">
        <v>23</v>
      </c>
      <c r="AC366" s="286"/>
      <c r="AD366" s="286"/>
      <c r="AE366" s="286"/>
      <c r="AF366" s="286"/>
      <c r="AG366" s="286"/>
      <c r="AH366" s="286"/>
      <c r="AI366" s="286"/>
      <c r="AJ366" s="286">
        <v>22</v>
      </c>
      <c r="AK366" s="295">
        <v>23</v>
      </c>
      <c r="AL366" s="288"/>
      <c r="AM366" s="287">
        <v>23</v>
      </c>
      <c r="AN366" s="287"/>
      <c r="AO366" s="287"/>
      <c r="AP366" s="286"/>
      <c r="AQ366" s="296">
        <v>23</v>
      </c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286"/>
      <c r="BB366" s="286"/>
      <c r="BC366" s="286"/>
      <c r="BD366" s="287"/>
      <c r="BE366" s="287"/>
      <c r="BF366" s="287"/>
      <c r="BG366" s="288">
        <v>23</v>
      </c>
      <c r="BH366" s="287">
        <v>23</v>
      </c>
      <c r="BI366" s="287"/>
      <c r="BJ366" s="287"/>
      <c r="BK366" s="287"/>
      <c r="BL366" s="287"/>
      <c r="BM366" s="287"/>
      <c r="BN366" s="287"/>
      <c r="BO366" s="287"/>
      <c r="BP366" s="287"/>
      <c r="BQ366" s="287"/>
      <c r="BR366" s="287"/>
      <c r="BS366" s="287"/>
      <c r="BT366" s="287"/>
      <c r="BU366" s="287">
        <v>22</v>
      </c>
      <c r="BV366" s="287"/>
      <c r="BW366" s="287"/>
      <c r="BX366" s="286"/>
      <c r="BY366" s="289">
        <v>22</v>
      </c>
      <c r="BZ366" s="289">
        <v>25</v>
      </c>
      <c r="CA366" s="289"/>
      <c r="CB366" s="289"/>
      <c r="CC366" s="289"/>
      <c r="CD366" s="289"/>
      <c r="CE366" s="289"/>
      <c r="CF366" s="289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>
        <v>22</v>
      </c>
      <c r="CR366" s="287">
        <v>23</v>
      </c>
      <c r="CS366" s="296">
        <v>21</v>
      </c>
      <c r="CT366" s="6"/>
      <c r="CU366" s="6"/>
      <c r="CV366" s="6"/>
      <c r="CW366" s="6"/>
      <c r="CX366" s="6"/>
      <c r="CY366" s="6"/>
      <c r="CZ366" s="6"/>
      <c r="DA366" s="343">
        <f t="shared" si="10"/>
        <v>18</v>
      </c>
    </row>
    <row r="367" spans="1:105" ht="20" customHeight="1" x14ac:dyDescent="0.35">
      <c r="A367" s="290" t="s">
        <v>2101</v>
      </c>
      <c r="B367" s="270" t="s">
        <v>964</v>
      </c>
      <c r="C367" s="270" t="s">
        <v>1569</v>
      </c>
      <c r="D367" s="297" t="s">
        <v>655</v>
      </c>
      <c r="E367" s="270" t="s">
        <v>43</v>
      </c>
      <c r="F367" s="270" t="s">
        <v>1870</v>
      </c>
      <c r="G367" s="270" t="s">
        <v>36</v>
      </c>
      <c r="H367" s="298">
        <v>18</v>
      </c>
      <c r="I367" s="292"/>
      <c r="J367" s="286"/>
      <c r="K367" s="286"/>
      <c r="L367" s="286"/>
      <c r="M367" s="286"/>
      <c r="N367" s="292"/>
      <c r="O367" s="286"/>
      <c r="P367" s="292"/>
      <c r="Q367" s="286"/>
      <c r="R367" s="286"/>
      <c r="S367" s="286"/>
      <c r="T367" s="286"/>
      <c r="U367" s="286"/>
      <c r="V367" s="294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95"/>
      <c r="AL367" s="288"/>
      <c r="AM367" s="287"/>
      <c r="AN367" s="287"/>
      <c r="AO367" s="287"/>
      <c r="AP367" s="286"/>
      <c r="AQ367" s="29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286"/>
      <c r="BB367" s="286"/>
      <c r="BC367" s="286"/>
      <c r="BD367" s="287"/>
      <c r="BE367" s="287"/>
      <c r="BF367" s="287"/>
      <c r="BG367" s="288"/>
      <c r="BH367" s="287"/>
      <c r="BI367" s="287"/>
      <c r="BJ367" s="287"/>
      <c r="BK367" s="287"/>
      <c r="BL367" s="287"/>
      <c r="BM367" s="287"/>
      <c r="BN367" s="287"/>
      <c r="BO367" s="287"/>
      <c r="BP367" s="287"/>
      <c r="BQ367" s="287"/>
      <c r="BR367" s="287"/>
      <c r="BS367" s="287"/>
      <c r="BT367" s="287"/>
      <c r="BU367" s="287"/>
      <c r="BV367" s="287"/>
      <c r="BW367" s="287"/>
      <c r="BX367" s="286"/>
      <c r="BY367" s="289"/>
      <c r="BZ367" s="289"/>
      <c r="CA367" s="289"/>
      <c r="CB367" s="289"/>
      <c r="CC367" s="289"/>
      <c r="CD367" s="289"/>
      <c r="CE367" s="289"/>
      <c r="CF367" s="289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>
        <v>22</v>
      </c>
      <c r="CR367" s="287"/>
      <c r="CS367" s="296">
        <v>21</v>
      </c>
      <c r="CT367" s="6"/>
      <c r="CU367" s="6"/>
      <c r="CV367" s="6"/>
      <c r="CW367" s="6"/>
      <c r="CX367" s="6"/>
      <c r="CY367" s="6"/>
      <c r="CZ367" s="6"/>
      <c r="DA367" s="343">
        <f>H367</f>
        <v>18</v>
      </c>
    </row>
    <row r="368" spans="1:105" ht="20" customHeight="1" x14ac:dyDescent="0.35">
      <c r="A368" s="290"/>
      <c r="B368" s="270" t="s">
        <v>965</v>
      </c>
      <c r="C368" s="270" t="s">
        <v>1569</v>
      </c>
      <c r="D368" s="297" t="s">
        <v>655</v>
      </c>
      <c r="E368" s="270" t="s">
        <v>43</v>
      </c>
      <c r="F368" s="270" t="s">
        <v>1872</v>
      </c>
      <c r="G368" s="270" t="s">
        <v>42</v>
      </c>
      <c r="H368" s="298"/>
      <c r="I368" s="292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94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7"/>
      <c r="AL368" s="288"/>
      <c r="AM368" s="287"/>
      <c r="AN368" s="287"/>
      <c r="AO368" s="287"/>
      <c r="AP368" s="286"/>
      <c r="AQ368" s="29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286"/>
      <c r="BB368" s="286"/>
      <c r="BC368" s="286"/>
      <c r="BD368" s="287"/>
      <c r="BE368" s="287"/>
      <c r="BF368" s="287"/>
      <c r="BG368" s="287"/>
      <c r="BH368" s="287"/>
      <c r="BI368" s="287"/>
      <c r="BJ368" s="287"/>
      <c r="BK368" s="287"/>
      <c r="BL368" s="287"/>
      <c r="BM368" s="287"/>
      <c r="BN368" s="287"/>
      <c r="BO368" s="287"/>
      <c r="BP368" s="287"/>
      <c r="BQ368" s="287"/>
      <c r="BR368" s="287"/>
      <c r="BS368" s="287"/>
      <c r="BT368" s="287"/>
      <c r="BU368" s="287"/>
      <c r="BV368" s="287"/>
      <c r="BW368" s="287"/>
      <c r="BX368" s="286"/>
      <c r="BY368" s="289"/>
      <c r="BZ368" s="289"/>
      <c r="CA368" s="289"/>
      <c r="CB368" s="289"/>
      <c r="CC368" s="289"/>
      <c r="CD368" s="289"/>
      <c r="CE368" s="289"/>
      <c r="CF368" s="289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/>
      <c r="CR368" s="287"/>
      <c r="CS368" s="6"/>
      <c r="CT368" s="6"/>
      <c r="CU368" s="6"/>
      <c r="CV368" s="6"/>
      <c r="CW368" s="6"/>
      <c r="CX368" s="6"/>
      <c r="CY368" s="6"/>
      <c r="CZ368" s="6"/>
      <c r="DA368" s="343">
        <f t="shared" si="10"/>
        <v>0</v>
      </c>
    </row>
    <row r="369" spans="1:105" ht="20" customHeight="1" x14ac:dyDescent="0.35">
      <c r="A369" s="290">
        <v>520710</v>
      </c>
      <c r="B369" s="270" t="s">
        <v>966</v>
      </c>
      <c r="C369" s="270" t="s">
        <v>1464</v>
      </c>
      <c r="D369" s="297" t="s">
        <v>655</v>
      </c>
      <c r="E369" s="270" t="s">
        <v>43</v>
      </c>
      <c r="F369" s="270" t="s">
        <v>1869</v>
      </c>
      <c r="G369" s="270" t="s">
        <v>36</v>
      </c>
      <c r="H369" s="298">
        <v>18</v>
      </c>
      <c r="I369" s="292">
        <v>23</v>
      </c>
      <c r="J369" s="286"/>
      <c r="K369" s="286"/>
      <c r="L369" s="286"/>
      <c r="M369" s="286"/>
      <c r="N369" s="292"/>
      <c r="O369" s="286"/>
      <c r="P369" s="292"/>
      <c r="Q369" s="286">
        <v>24</v>
      </c>
      <c r="R369" s="286">
        <v>23</v>
      </c>
      <c r="S369" s="286">
        <v>24</v>
      </c>
      <c r="T369" s="286"/>
      <c r="U369" s="286"/>
      <c r="V369" s="294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95"/>
      <c r="AL369" s="288"/>
      <c r="AM369" s="287">
        <v>23</v>
      </c>
      <c r="AN369" s="287"/>
      <c r="AO369" s="287"/>
      <c r="AP369" s="286"/>
      <c r="AQ369" s="296"/>
      <c r="AR369" s="286"/>
      <c r="AS369" s="286"/>
      <c r="AT369" s="286"/>
      <c r="AU369" s="286"/>
      <c r="AV369" s="286"/>
      <c r="AW369" s="286"/>
      <c r="AX369" s="286"/>
      <c r="AY369" s="286"/>
      <c r="AZ369" s="286"/>
      <c r="BA369" s="286"/>
      <c r="BB369" s="286"/>
      <c r="BC369" s="286"/>
      <c r="BD369" s="287"/>
      <c r="BE369" s="287"/>
      <c r="BF369" s="287"/>
      <c r="BG369" s="288">
        <v>23</v>
      </c>
      <c r="BH369" s="287">
        <v>23</v>
      </c>
      <c r="BI369" s="287"/>
      <c r="BJ369" s="287"/>
      <c r="BK369" s="287"/>
      <c r="BL369" s="287"/>
      <c r="BM369" s="287"/>
      <c r="BN369" s="287"/>
      <c r="BO369" s="287"/>
      <c r="BP369" s="287"/>
      <c r="BQ369" s="287"/>
      <c r="BR369" s="287"/>
      <c r="BS369" s="287"/>
      <c r="BT369" s="287"/>
      <c r="BU369" s="287">
        <v>22</v>
      </c>
      <c r="BV369" s="287"/>
      <c r="BW369" s="287"/>
      <c r="BX369" s="286"/>
      <c r="BY369" s="289"/>
      <c r="BZ369" s="289">
        <v>25</v>
      </c>
      <c r="CA369" s="289"/>
      <c r="CB369" s="289"/>
      <c r="CC369" s="289"/>
      <c r="CD369" s="289"/>
      <c r="CE369" s="289"/>
      <c r="CF369" s="289"/>
      <c r="CG369" s="287"/>
      <c r="CH369" s="287"/>
      <c r="CI369" s="287"/>
      <c r="CJ369" s="287"/>
      <c r="CK369" s="287"/>
      <c r="CL369" s="287"/>
      <c r="CM369" s="287"/>
      <c r="CN369" s="287"/>
      <c r="CO369" s="287"/>
      <c r="CP369" s="287"/>
      <c r="CQ369" s="287">
        <v>22</v>
      </c>
      <c r="CR369" s="287"/>
      <c r="CS369" s="296">
        <v>21</v>
      </c>
      <c r="CT369" s="6"/>
      <c r="CU369" s="6"/>
      <c r="CV369" s="6"/>
      <c r="CW369" s="6"/>
      <c r="CX369" s="6"/>
      <c r="CY369" s="6"/>
      <c r="CZ369" s="6"/>
      <c r="DA369" s="343">
        <f t="shared" si="10"/>
        <v>18</v>
      </c>
    </row>
    <row r="370" spans="1:105" ht="20" customHeight="1" x14ac:dyDescent="0.35">
      <c r="A370" s="290"/>
      <c r="B370" s="270" t="s">
        <v>967</v>
      </c>
      <c r="C370" s="270" t="s">
        <v>1464</v>
      </c>
      <c r="D370" s="297" t="s">
        <v>655</v>
      </c>
      <c r="E370" s="270" t="s">
        <v>43</v>
      </c>
      <c r="F370" s="270" t="s">
        <v>1871</v>
      </c>
      <c r="G370" s="270" t="s">
        <v>42</v>
      </c>
      <c r="H370" s="298"/>
      <c r="I370" s="292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94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7"/>
      <c r="AL370" s="288"/>
      <c r="AM370" s="287"/>
      <c r="AN370" s="287"/>
      <c r="AO370" s="287"/>
      <c r="AP370" s="286"/>
      <c r="AQ370" s="29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286"/>
      <c r="BB370" s="286"/>
      <c r="BC370" s="286"/>
      <c r="BD370" s="287"/>
      <c r="BE370" s="287"/>
      <c r="BF370" s="287"/>
      <c r="BG370" s="287"/>
      <c r="BH370" s="287"/>
      <c r="BI370" s="287"/>
      <c r="BJ370" s="287"/>
      <c r="BK370" s="287"/>
      <c r="BL370" s="287"/>
      <c r="BM370" s="287"/>
      <c r="BN370" s="287"/>
      <c r="BO370" s="287"/>
      <c r="BP370" s="287"/>
      <c r="BQ370" s="287"/>
      <c r="BR370" s="287"/>
      <c r="BS370" s="287"/>
      <c r="BT370" s="287"/>
      <c r="BU370" s="287"/>
      <c r="BV370" s="287"/>
      <c r="BW370" s="287"/>
      <c r="BX370" s="286"/>
      <c r="BY370" s="289"/>
      <c r="BZ370" s="289"/>
      <c r="CA370" s="289"/>
      <c r="CB370" s="289"/>
      <c r="CC370" s="289"/>
      <c r="CD370" s="289"/>
      <c r="CE370" s="289"/>
      <c r="CF370" s="289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6"/>
      <c r="CT370" s="6"/>
      <c r="CU370" s="6"/>
      <c r="CV370" s="6"/>
      <c r="CW370" s="6"/>
      <c r="CX370" s="6"/>
      <c r="CY370" s="6"/>
      <c r="CZ370" s="6"/>
      <c r="DA370" s="343">
        <f t="shared" si="10"/>
        <v>0</v>
      </c>
    </row>
    <row r="371" spans="1:105" ht="20" customHeight="1" x14ac:dyDescent="0.35">
      <c r="A371" s="290"/>
      <c r="B371" s="270" t="s">
        <v>968</v>
      </c>
      <c r="C371" s="270" t="s">
        <v>1570</v>
      </c>
      <c r="D371" s="297" t="s">
        <v>646</v>
      </c>
      <c r="E371" s="270" t="s">
        <v>656</v>
      </c>
      <c r="F371" s="270" t="s">
        <v>1874</v>
      </c>
      <c r="G371" s="270" t="s">
        <v>36</v>
      </c>
      <c r="H371" s="298">
        <v>50</v>
      </c>
      <c r="I371" s="292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94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7"/>
      <c r="AL371" s="288"/>
      <c r="AM371" s="287"/>
      <c r="AN371" s="287"/>
      <c r="AO371" s="287"/>
      <c r="AP371" s="286"/>
      <c r="AQ371" s="29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286"/>
      <c r="BB371" s="286"/>
      <c r="BC371" s="286"/>
      <c r="BD371" s="287"/>
      <c r="BE371" s="287"/>
      <c r="BF371" s="287"/>
      <c r="BG371" s="287"/>
      <c r="BH371" s="287"/>
      <c r="BI371" s="287"/>
      <c r="BJ371" s="287"/>
      <c r="BK371" s="287"/>
      <c r="BL371" s="287"/>
      <c r="BM371" s="287"/>
      <c r="BN371" s="287"/>
      <c r="BO371" s="287"/>
      <c r="BP371" s="287"/>
      <c r="BQ371" s="287"/>
      <c r="BR371" s="287"/>
      <c r="BS371" s="287"/>
      <c r="BT371" s="287"/>
      <c r="BU371" s="287"/>
      <c r="BV371" s="287"/>
      <c r="BW371" s="287"/>
      <c r="BX371" s="286"/>
      <c r="BY371" s="289"/>
      <c r="BZ371" s="289"/>
      <c r="CA371" s="289"/>
      <c r="CB371" s="289"/>
      <c r="CC371" s="289"/>
      <c r="CD371" s="289"/>
      <c r="CE371" s="289"/>
      <c r="CF371" s="289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/>
      <c r="CR371" s="287"/>
      <c r="CS371" s="6"/>
      <c r="CT371" s="6"/>
      <c r="CU371" s="6"/>
      <c r="CV371" s="6"/>
      <c r="CW371" s="6"/>
      <c r="CX371" s="6"/>
      <c r="CY371" s="6"/>
      <c r="CZ371" s="6"/>
      <c r="DA371" s="343">
        <f t="shared" si="10"/>
        <v>50</v>
      </c>
    </row>
    <row r="372" spans="1:105" ht="20" customHeight="1" x14ac:dyDescent="0.35">
      <c r="A372" s="290"/>
      <c r="B372" s="270" t="s">
        <v>969</v>
      </c>
      <c r="C372" s="270" t="s">
        <v>1570</v>
      </c>
      <c r="D372" s="297" t="s">
        <v>646</v>
      </c>
      <c r="E372" s="270" t="s">
        <v>656</v>
      </c>
      <c r="F372" s="270" t="s">
        <v>1873</v>
      </c>
      <c r="G372" s="270" t="s">
        <v>42</v>
      </c>
      <c r="H372" s="298">
        <f>H371/6</f>
        <v>8.3333333333333339</v>
      </c>
      <c r="I372" s="300">
        <v>12</v>
      </c>
      <c r="J372" s="286"/>
      <c r="K372" s="286"/>
      <c r="L372" s="286"/>
      <c r="M372" s="286"/>
      <c r="N372" s="286"/>
      <c r="O372" s="286"/>
      <c r="P372" s="286"/>
      <c r="Q372" s="286"/>
      <c r="R372" s="286">
        <v>10.5</v>
      </c>
      <c r="S372" s="286"/>
      <c r="T372" s="286"/>
      <c r="U372" s="286"/>
      <c r="V372" s="286"/>
      <c r="W372" s="286"/>
      <c r="X372" s="286"/>
      <c r="Y372" s="286">
        <v>11</v>
      </c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>
        <v>11.5</v>
      </c>
      <c r="AK372" s="295"/>
      <c r="AL372" s="288"/>
      <c r="AM372" s="287">
        <v>11</v>
      </c>
      <c r="AN372" s="287"/>
      <c r="AO372" s="287"/>
      <c r="AP372" s="286"/>
      <c r="AQ372" s="296">
        <v>12</v>
      </c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286"/>
      <c r="BB372" s="286"/>
      <c r="BC372" s="286"/>
      <c r="BD372" s="287"/>
      <c r="BE372" s="287"/>
      <c r="BF372" s="287"/>
      <c r="BG372" s="288">
        <v>11</v>
      </c>
      <c r="BH372" s="287"/>
      <c r="BI372" s="287"/>
      <c r="BJ372" s="287">
        <v>10.5</v>
      </c>
      <c r="BK372" s="287"/>
      <c r="BL372" s="287"/>
      <c r="BM372" s="287"/>
      <c r="BN372" s="287"/>
      <c r="BO372" s="287"/>
      <c r="BP372" s="287"/>
      <c r="BQ372" s="287">
        <v>11</v>
      </c>
      <c r="BR372" s="287"/>
      <c r="BS372" s="287"/>
      <c r="BT372" s="287"/>
      <c r="BU372" s="287"/>
      <c r="BV372" s="287"/>
      <c r="BW372" s="287"/>
      <c r="BX372" s="286"/>
      <c r="BY372" s="289">
        <v>11</v>
      </c>
      <c r="BZ372" s="289">
        <v>11</v>
      </c>
      <c r="CA372" s="289"/>
      <c r="CB372" s="289"/>
      <c r="CC372" s="289">
        <v>11</v>
      </c>
      <c r="CD372" s="289"/>
      <c r="CE372" s="289"/>
      <c r="CF372" s="289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>
        <v>12</v>
      </c>
      <c r="CR372" s="287">
        <v>11</v>
      </c>
      <c r="CS372" s="296">
        <v>9.8000000000000007</v>
      </c>
      <c r="CT372" s="6"/>
      <c r="CU372" s="6"/>
      <c r="CV372" s="6"/>
      <c r="CW372" s="6"/>
      <c r="CX372" s="6"/>
      <c r="CY372" s="6"/>
      <c r="CZ372" s="6"/>
      <c r="DA372" s="343">
        <f t="shared" si="10"/>
        <v>8.3333333333333339</v>
      </c>
    </row>
    <row r="373" spans="1:105" ht="20" customHeight="1" x14ac:dyDescent="0.35">
      <c r="A373" s="290" t="s">
        <v>2129</v>
      </c>
      <c r="B373" s="270" t="s">
        <v>1099</v>
      </c>
      <c r="C373" s="270" t="s">
        <v>2078</v>
      </c>
      <c r="D373" s="270" t="s">
        <v>627</v>
      </c>
      <c r="E373" s="270" t="s">
        <v>2079</v>
      </c>
      <c r="F373" s="270" t="s">
        <v>712</v>
      </c>
      <c r="G373" s="270" t="s">
        <v>36</v>
      </c>
      <c r="H373" s="298">
        <v>38</v>
      </c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94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7"/>
      <c r="AL373" s="288"/>
      <c r="AM373" s="287"/>
      <c r="AN373" s="287"/>
      <c r="AO373" s="287"/>
      <c r="AP373" s="286"/>
      <c r="AQ373" s="296"/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286"/>
      <c r="BB373" s="286"/>
      <c r="BC373" s="286"/>
      <c r="BD373" s="287"/>
      <c r="BE373" s="287"/>
      <c r="BF373" s="287"/>
      <c r="BG373" s="287"/>
      <c r="BH373" s="287"/>
      <c r="BI373" s="287"/>
      <c r="BJ373" s="287"/>
      <c r="BK373" s="287"/>
      <c r="BL373" s="287"/>
      <c r="BM373" s="287"/>
      <c r="BN373" s="287"/>
      <c r="BO373" s="287"/>
      <c r="BP373" s="287"/>
      <c r="BQ373" s="287"/>
      <c r="BR373" s="287"/>
      <c r="BS373" s="287"/>
      <c r="BT373" s="287"/>
      <c r="BU373" s="287"/>
      <c r="BV373" s="287"/>
      <c r="BW373" s="287"/>
      <c r="BX373" s="286"/>
      <c r="BY373" s="289"/>
      <c r="BZ373" s="289"/>
      <c r="CA373" s="289"/>
      <c r="CB373" s="289"/>
      <c r="CC373" s="289"/>
      <c r="CD373" s="289"/>
      <c r="CE373" s="289"/>
      <c r="CF373" s="289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>
        <v>50</v>
      </c>
      <c r="CR373" s="287"/>
      <c r="CS373" s="6"/>
      <c r="CT373" s="6"/>
      <c r="CU373" s="6"/>
      <c r="CV373" s="6"/>
      <c r="CW373" s="6"/>
      <c r="CX373" s="6"/>
      <c r="CY373" s="6"/>
      <c r="CZ373" s="6"/>
      <c r="DA373" s="343">
        <f t="shared" si="10"/>
        <v>38</v>
      </c>
    </row>
    <row r="374" spans="1:105" ht="20" customHeight="1" x14ac:dyDescent="0.35">
      <c r="A374" s="290"/>
      <c r="B374" s="270" t="s">
        <v>970</v>
      </c>
      <c r="C374" s="270" t="s">
        <v>1571</v>
      </c>
      <c r="D374" s="297" t="s">
        <v>655</v>
      </c>
      <c r="E374" s="270" t="s">
        <v>710</v>
      </c>
      <c r="F374" s="270" t="s">
        <v>1878</v>
      </c>
      <c r="G374" s="270" t="s">
        <v>36</v>
      </c>
      <c r="H374" s="298">
        <v>52</v>
      </c>
      <c r="I374" s="292">
        <v>58</v>
      </c>
      <c r="J374" s="286"/>
      <c r="K374" s="286"/>
      <c r="L374" s="286"/>
      <c r="M374" s="286"/>
      <c r="N374" s="286"/>
      <c r="O374" s="286">
        <v>58</v>
      </c>
      <c r="P374" s="286"/>
      <c r="Q374" s="286"/>
      <c r="R374" s="286">
        <v>58</v>
      </c>
      <c r="S374" s="286"/>
      <c r="T374" s="286"/>
      <c r="U374" s="286"/>
      <c r="V374" s="294"/>
      <c r="W374" s="286"/>
      <c r="X374" s="286"/>
      <c r="Y374" s="286"/>
      <c r="Z374" s="286"/>
      <c r="AA374" s="286"/>
      <c r="AB374" s="286"/>
      <c r="AC374" s="286">
        <v>58</v>
      </c>
      <c r="AD374" s="286"/>
      <c r="AE374" s="286"/>
      <c r="AF374" s="286"/>
      <c r="AG374" s="286"/>
      <c r="AH374" s="286"/>
      <c r="AI374" s="286"/>
      <c r="AJ374" s="286"/>
      <c r="AK374" s="295">
        <v>60</v>
      </c>
      <c r="AL374" s="288"/>
      <c r="AM374" s="287">
        <v>58</v>
      </c>
      <c r="AN374" s="287"/>
      <c r="AO374" s="287"/>
      <c r="AP374" s="286"/>
      <c r="AQ374" s="29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286"/>
      <c r="BB374" s="286"/>
      <c r="BC374" s="286"/>
      <c r="BD374" s="287"/>
      <c r="BE374" s="287"/>
      <c r="BF374" s="287"/>
      <c r="BG374" s="288">
        <v>60</v>
      </c>
      <c r="BH374" s="287">
        <v>60</v>
      </c>
      <c r="BI374" s="287"/>
      <c r="BJ374" s="287"/>
      <c r="BK374" s="287"/>
      <c r="BL374" s="287"/>
      <c r="BM374" s="287"/>
      <c r="BN374" s="287"/>
      <c r="BO374" s="287"/>
      <c r="BP374" s="287"/>
      <c r="BQ374" s="287"/>
      <c r="BR374" s="287"/>
      <c r="BS374" s="287"/>
      <c r="BT374" s="287">
        <v>60</v>
      </c>
      <c r="BU374" s="287"/>
      <c r="BV374" s="287"/>
      <c r="BW374" s="287"/>
      <c r="BX374" s="286"/>
      <c r="BY374" s="289"/>
      <c r="BZ374" s="289">
        <v>58</v>
      </c>
      <c r="CA374" s="289"/>
      <c r="CB374" s="289"/>
      <c r="CC374" s="289"/>
      <c r="CD374" s="289"/>
      <c r="CE374" s="289"/>
      <c r="CF374" s="289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>
        <v>60</v>
      </c>
      <c r="CR374" s="287"/>
      <c r="CS374" s="296">
        <v>60</v>
      </c>
      <c r="CT374" s="6"/>
      <c r="CU374" s="6"/>
      <c r="CV374" s="6"/>
      <c r="CW374" s="6"/>
      <c r="CX374" s="6"/>
      <c r="CY374" s="6"/>
      <c r="CZ374" s="6"/>
      <c r="DA374" s="343">
        <f t="shared" si="10"/>
        <v>52</v>
      </c>
    </row>
    <row r="375" spans="1:105" ht="20" customHeight="1" x14ac:dyDescent="0.35">
      <c r="A375" s="301"/>
      <c r="B375" s="270" t="s">
        <v>971</v>
      </c>
      <c r="C375" s="270" t="s">
        <v>1571</v>
      </c>
      <c r="D375" s="297" t="s">
        <v>655</v>
      </c>
      <c r="E375" s="270" t="s">
        <v>710</v>
      </c>
      <c r="F375" s="270" t="s">
        <v>1879</v>
      </c>
      <c r="G375" s="270" t="s">
        <v>436</v>
      </c>
      <c r="H375" s="298">
        <f>H374/48</f>
        <v>1.0833333333333333</v>
      </c>
      <c r="I375" s="286">
        <v>0</v>
      </c>
      <c r="J375" s="286"/>
      <c r="K375" s="286"/>
      <c r="L375" s="286"/>
      <c r="M375" s="286"/>
      <c r="N375" s="296">
        <v>1.3</v>
      </c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7"/>
      <c r="AL375" s="288"/>
      <c r="AM375" s="287"/>
      <c r="AN375" s="287"/>
      <c r="AO375" s="287"/>
      <c r="AP375" s="286"/>
      <c r="AQ375" s="296"/>
      <c r="AR375" s="286"/>
      <c r="AS375" s="286"/>
      <c r="AT375" s="286"/>
      <c r="AU375" s="286"/>
      <c r="AV375" s="286"/>
      <c r="AW375" s="286"/>
      <c r="AX375" s="286"/>
      <c r="AY375" s="286"/>
      <c r="AZ375" s="286"/>
      <c r="BA375" s="286"/>
      <c r="BB375" s="286"/>
      <c r="BC375" s="286"/>
      <c r="BD375" s="287"/>
      <c r="BE375" s="287"/>
      <c r="BF375" s="287"/>
      <c r="BG375" s="288">
        <v>1.35</v>
      </c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>
        <v>1.3</v>
      </c>
      <c r="BU375" s="287"/>
      <c r="BV375" s="287"/>
      <c r="BW375" s="287"/>
      <c r="BX375" s="286"/>
      <c r="BY375" s="289"/>
      <c r="BZ375" s="289">
        <v>1.3</v>
      </c>
      <c r="CA375" s="289"/>
      <c r="CB375" s="289"/>
      <c r="CC375" s="289"/>
      <c r="CD375" s="289"/>
      <c r="CE375" s="289"/>
      <c r="CF375" s="289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6"/>
      <c r="CT375" s="6"/>
      <c r="CU375" s="6"/>
      <c r="CV375" s="6"/>
      <c r="CW375" s="6"/>
      <c r="CX375" s="6"/>
      <c r="CY375" s="6"/>
      <c r="CZ375" s="6"/>
      <c r="DA375" s="343">
        <f t="shared" si="10"/>
        <v>1.0833333333333333</v>
      </c>
    </row>
    <row r="376" spans="1:105" ht="20" customHeight="1" x14ac:dyDescent="0.35">
      <c r="A376" s="290"/>
      <c r="B376" s="270" t="s">
        <v>972</v>
      </c>
      <c r="C376" s="270" t="s">
        <v>709</v>
      </c>
      <c r="D376" s="297" t="s">
        <v>655</v>
      </c>
      <c r="E376" s="270" t="s">
        <v>432</v>
      </c>
      <c r="F376" s="270" t="s">
        <v>1880</v>
      </c>
      <c r="G376" s="270" t="s">
        <v>36</v>
      </c>
      <c r="H376" s="298">
        <f>50.5*1.09</f>
        <v>55.045000000000002</v>
      </c>
      <c r="I376" s="292">
        <v>59</v>
      </c>
      <c r="J376" s="286"/>
      <c r="K376" s="286"/>
      <c r="L376" s="286"/>
      <c r="M376" s="286"/>
      <c r="N376" s="286"/>
      <c r="O376" s="286"/>
      <c r="P376" s="292">
        <v>58</v>
      </c>
      <c r="Q376" s="286"/>
      <c r="R376" s="286"/>
      <c r="S376" s="286"/>
      <c r="T376" s="286"/>
      <c r="U376" s="286"/>
      <c r="V376" s="294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95">
        <v>58</v>
      </c>
      <c r="AL376" s="288"/>
      <c r="AM376" s="287"/>
      <c r="AN376" s="287"/>
      <c r="AO376" s="287"/>
      <c r="AP376" s="286"/>
      <c r="AQ376" s="29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286"/>
      <c r="BB376" s="286"/>
      <c r="BC376" s="286"/>
      <c r="BD376" s="287"/>
      <c r="BE376" s="287"/>
      <c r="BF376" s="287"/>
      <c r="BG376" s="288">
        <v>58</v>
      </c>
      <c r="BH376" s="287"/>
      <c r="BI376" s="287"/>
      <c r="BJ376" s="287"/>
      <c r="BK376" s="287"/>
      <c r="BL376" s="287"/>
      <c r="BM376" s="287"/>
      <c r="BN376" s="287"/>
      <c r="BO376" s="287"/>
      <c r="BP376" s="287"/>
      <c r="BQ376" s="287"/>
      <c r="BR376" s="287"/>
      <c r="BS376" s="287"/>
      <c r="BT376" s="287"/>
      <c r="BU376" s="287"/>
      <c r="BV376" s="287"/>
      <c r="BW376" s="287"/>
      <c r="BX376" s="286"/>
      <c r="BY376" s="289">
        <v>58</v>
      </c>
      <c r="BZ376" s="289"/>
      <c r="CA376" s="289"/>
      <c r="CB376" s="289">
        <v>61</v>
      </c>
      <c r="CC376" s="289"/>
      <c r="CD376" s="289"/>
      <c r="CE376" s="289"/>
      <c r="CF376" s="289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>
        <v>59</v>
      </c>
      <c r="CR376" s="287"/>
      <c r="CS376" s="296">
        <v>59</v>
      </c>
      <c r="CT376" s="6"/>
      <c r="CU376" s="6"/>
      <c r="CV376" s="6"/>
      <c r="CW376" s="6"/>
      <c r="CX376" s="6"/>
      <c r="CY376" s="6"/>
      <c r="CZ376" s="6"/>
      <c r="DA376" s="343">
        <f t="shared" si="10"/>
        <v>55.045000000000002</v>
      </c>
    </row>
    <row r="377" spans="1:105" ht="20" customHeight="1" x14ac:dyDescent="0.35">
      <c r="A377" s="290"/>
      <c r="B377" s="270" t="s">
        <v>973</v>
      </c>
      <c r="C377" s="270" t="s">
        <v>709</v>
      </c>
      <c r="D377" s="297" t="s">
        <v>655</v>
      </c>
      <c r="E377" s="270" t="s">
        <v>432</v>
      </c>
      <c r="F377" s="270" t="s">
        <v>1881</v>
      </c>
      <c r="G377" s="270" t="s">
        <v>36</v>
      </c>
      <c r="H377" s="298">
        <f>H376/48</f>
        <v>1.1467708333333333</v>
      </c>
      <c r="I377" s="292">
        <v>0</v>
      </c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94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7"/>
      <c r="AL377" s="288"/>
      <c r="AM377" s="287"/>
      <c r="AN377" s="287"/>
      <c r="AO377" s="287"/>
      <c r="AP377" s="286"/>
      <c r="AQ377" s="29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  <c r="BC377" s="286"/>
      <c r="BD377" s="287"/>
      <c r="BE377" s="287"/>
      <c r="BF377" s="287"/>
      <c r="BG377" s="288">
        <v>1.3</v>
      </c>
      <c r="BH377" s="287"/>
      <c r="BI377" s="287"/>
      <c r="BJ377" s="287"/>
      <c r="BK377" s="287"/>
      <c r="BL377" s="287"/>
      <c r="BM377" s="287"/>
      <c r="BN377" s="287"/>
      <c r="BO377" s="287"/>
      <c r="BP377" s="287"/>
      <c r="BQ377" s="287"/>
      <c r="BR377" s="287"/>
      <c r="BS377" s="287"/>
      <c r="BT377" s="287"/>
      <c r="BU377" s="287"/>
      <c r="BV377" s="287"/>
      <c r="BW377" s="287"/>
      <c r="BX377" s="286"/>
      <c r="BY377" s="289"/>
      <c r="BZ377" s="289"/>
      <c r="CA377" s="289"/>
      <c r="CB377" s="289"/>
      <c r="CC377" s="289"/>
      <c r="CD377" s="289"/>
      <c r="CE377" s="289"/>
      <c r="CF377" s="289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6"/>
      <c r="CT377" s="6"/>
      <c r="CU377" s="6"/>
      <c r="CV377" s="6"/>
      <c r="CW377" s="6"/>
      <c r="CX377" s="6"/>
      <c r="CY377" s="6"/>
      <c r="CZ377" s="6"/>
      <c r="DA377" s="343">
        <f t="shared" si="10"/>
        <v>1.1467708333333333</v>
      </c>
    </row>
    <row r="378" spans="1:105" ht="20" customHeight="1" x14ac:dyDescent="0.35">
      <c r="A378" s="290"/>
      <c r="B378" s="270" t="s">
        <v>975</v>
      </c>
      <c r="C378" s="270" t="s">
        <v>974</v>
      </c>
      <c r="D378" s="297" t="s">
        <v>655</v>
      </c>
      <c r="E378" s="270" t="s">
        <v>437</v>
      </c>
      <c r="F378" s="270" t="s">
        <v>1876</v>
      </c>
      <c r="G378" s="270" t="s">
        <v>36</v>
      </c>
      <c r="H378" s="298">
        <f>42.5*1.09</f>
        <v>46.325000000000003</v>
      </c>
      <c r="I378" s="292">
        <v>51</v>
      </c>
      <c r="J378" s="286"/>
      <c r="K378" s="286"/>
      <c r="L378" s="286"/>
      <c r="M378" s="286"/>
      <c r="N378" s="286"/>
      <c r="O378" s="286"/>
      <c r="P378" s="292">
        <v>48</v>
      </c>
      <c r="Q378" s="286"/>
      <c r="R378" s="286">
        <v>51</v>
      </c>
      <c r="S378" s="286"/>
      <c r="T378" s="286"/>
      <c r="U378" s="286"/>
      <c r="V378" s="294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95">
        <v>51</v>
      </c>
      <c r="AL378" s="288"/>
      <c r="AM378" s="287"/>
      <c r="AN378" s="287"/>
      <c r="AO378" s="287"/>
      <c r="AP378" s="286"/>
      <c r="AQ378" s="29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286"/>
      <c r="BB378" s="286"/>
      <c r="BC378" s="286"/>
      <c r="BD378" s="287"/>
      <c r="BE378" s="287"/>
      <c r="BF378" s="287"/>
      <c r="BG378" s="288">
        <v>51</v>
      </c>
      <c r="BH378" s="287">
        <v>51</v>
      </c>
      <c r="BI378" s="287">
        <v>51</v>
      </c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>
        <v>51</v>
      </c>
      <c r="BU378" s="287"/>
      <c r="BV378" s="287"/>
      <c r="BW378" s="287"/>
      <c r="BX378" s="286"/>
      <c r="BY378" s="289"/>
      <c r="BZ378" s="289">
        <v>51</v>
      </c>
      <c r="CA378" s="289"/>
      <c r="CB378" s="289">
        <v>51</v>
      </c>
      <c r="CC378" s="289"/>
      <c r="CD378" s="289"/>
      <c r="CE378" s="289"/>
      <c r="CF378" s="289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>
        <v>50</v>
      </c>
      <c r="CR378" s="287"/>
      <c r="CS378" s="296">
        <v>51</v>
      </c>
      <c r="CT378" s="6"/>
      <c r="CU378" s="6"/>
      <c r="CV378" s="6"/>
      <c r="CW378" s="6"/>
      <c r="CX378" s="6"/>
      <c r="CY378" s="6"/>
      <c r="CZ378" s="6"/>
      <c r="DA378" s="343">
        <f t="shared" si="10"/>
        <v>46.325000000000003</v>
      </c>
    </row>
    <row r="379" spans="1:105" ht="20" customHeight="1" x14ac:dyDescent="0.35">
      <c r="A379" s="290"/>
      <c r="B379" s="270" t="s">
        <v>976</v>
      </c>
      <c r="C379" s="270" t="s">
        <v>974</v>
      </c>
      <c r="D379" s="297" t="s">
        <v>655</v>
      </c>
      <c r="E379" s="270" t="s">
        <v>437</v>
      </c>
      <c r="F379" s="270" t="s">
        <v>1877</v>
      </c>
      <c r="G379" s="270" t="s">
        <v>42</v>
      </c>
      <c r="H379" s="298">
        <f>H378/48</f>
        <v>0.96510416666666676</v>
      </c>
      <c r="I379" s="292">
        <v>0</v>
      </c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9"/>
      <c r="V379" s="294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7"/>
      <c r="AL379" s="288"/>
      <c r="AM379" s="287"/>
      <c r="AN379" s="287"/>
      <c r="AO379" s="287"/>
      <c r="AP379" s="286"/>
      <c r="AQ379" s="296"/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286"/>
      <c r="BB379" s="286"/>
      <c r="BC379" s="286"/>
      <c r="BD379" s="287"/>
      <c r="BE379" s="287"/>
      <c r="BF379" s="287"/>
      <c r="BG379" s="288">
        <v>1.2</v>
      </c>
      <c r="BH379" s="287"/>
      <c r="BI379" s="287"/>
      <c r="BJ379" s="287"/>
      <c r="BK379" s="287"/>
      <c r="BL379" s="287"/>
      <c r="BM379" s="287"/>
      <c r="BN379" s="287"/>
      <c r="BO379" s="287"/>
      <c r="BP379" s="287"/>
      <c r="BQ379" s="287"/>
      <c r="BR379" s="287"/>
      <c r="BS379" s="287"/>
      <c r="BT379" s="287"/>
      <c r="BU379" s="287"/>
      <c r="BV379" s="287"/>
      <c r="BW379" s="287"/>
      <c r="BX379" s="286"/>
      <c r="BY379" s="289"/>
      <c r="BZ379" s="289"/>
      <c r="CA379" s="289"/>
      <c r="CB379" s="289">
        <v>1.2</v>
      </c>
      <c r="CC379" s="289"/>
      <c r="CD379" s="289"/>
      <c r="CE379" s="289"/>
      <c r="CF379" s="289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/>
      <c r="CR379" s="287"/>
      <c r="CS379" s="6"/>
      <c r="CT379" s="6"/>
      <c r="CU379" s="6"/>
      <c r="CV379" s="6"/>
      <c r="CW379" s="6"/>
      <c r="CX379" s="6"/>
      <c r="CY379" s="6"/>
      <c r="CZ379" s="6"/>
      <c r="DA379" s="343">
        <f t="shared" si="10"/>
        <v>0.96510416666666676</v>
      </c>
    </row>
    <row r="380" spans="1:105" ht="20" customHeight="1" x14ac:dyDescent="0.35">
      <c r="A380" s="290"/>
      <c r="B380" s="270" t="s">
        <v>977</v>
      </c>
      <c r="C380" s="270" t="s">
        <v>1465</v>
      </c>
      <c r="D380" s="297" t="s">
        <v>627</v>
      </c>
      <c r="E380" s="270" t="s">
        <v>432</v>
      </c>
      <c r="F380" s="270" t="s">
        <v>652</v>
      </c>
      <c r="G380" s="270" t="s">
        <v>36</v>
      </c>
      <c r="H380" s="298"/>
      <c r="I380" s="292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7"/>
      <c r="AL380" s="288"/>
      <c r="AM380" s="287"/>
      <c r="AN380" s="287"/>
      <c r="AO380" s="287"/>
      <c r="AP380" s="286"/>
      <c r="AQ380" s="296"/>
      <c r="AR380" s="286"/>
      <c r="AS380" s="286"/>
      <c r="AT380" s="286"/>
      <c r="AU380" s="286"/>
      <c r="AV380" s="286"/>
      <c r="AW380" s="286"/>
      <c r="AX380" s="286"/>
      <c r="AY380" s="286"/>
      <c r="AZ380" s="286"/>
      <c r="BA380" s="286"/>
      <c r="BB380" s="286"/>
      <c r="BC380" s="286"/>
      <c r="BD380" s="287"/>
      <c r="BE380" s="287"/>
      <c r="BF380" s="287"/>
      <c r="BG380" s="287"/>
      <c r="BH380" s="287"/>
      <c r="BI380" s="287"/>
      <c r="BJ380" s="287"/>
      <c r="BK380" s="287"/>
      <c r="BL380" s="287"/>
      <c r="BM380" s="287"/>
      <c r="BN380" s="287"/>
      <c r="BO380" s="287"/>
      <c r="BP380" s="287"/>
      <c r="BQ380" s="287"/>
      <c r="BR380" s="287"/>
      <c r="BS380" s="287"/>
      <c r="BT380" s="287"/>
      <c r="BU380" s="287"/>
      <c r="BV380" s="287"/>
      <c r="BW380" s="287"/>
      <c r="BX380" s="286"/>
      <c r="BY380" s="289"/>
      <c r="BZ380" s="289"/>
      <c r="CA380" s="289"/>
      <c r="CB380" s="289"/>
      <c r="CC380" s="289"/>
      <c r="CD380" s="289"/>
      <c r="CE380" s="289"/>
      <c r="CF380" s="289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/>
      <c r="CR380" s="287"/>
      <c r="CS380" s="6"/>
      <c r="CT380" s="6"/>
      <c r="CU380" s="6"/>
      <c r="CV380" s="6"/>
      <c r="CW380" s="6"/>
      <c r="CX380" s="6"/>
      <c r="CY380" s="6"/>
      <c r="CZ380" s="6"/>
      <c r="DA380" s="343">
        <f t="shared" si="10"/>
        <v>0</v>
      </c>
    </row>
    <row r="381" spans="1:105" ht="20" customHeight="1" x14ac:dyDescent="0.35">
      <c r="A381" s="290"/>
      <c r="B381" s="270" t="s">
        <v>978</v>
      </c>
      <c r="C381" s="270" t="s">
        <v>447</v>
      </c>
      <c r="D381" s="297" t="s">
        <v>627</v>
      </c>
      <c r="E381" s="270" t="s">
        <v>448</v>
      </c>
      <c r="F381" s="270" t="s">
        <v>652</v>
      </c>
      <c r="G381" s="270" t="s">
        <v>36</v>
      </c>
      <c r="H381" s="298"/>
      <c r="I381" s="292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7"/>
      <c r="AL381" s="288"/>
      <c r="AM381" s="287"/>
      <c r="AN381" s="287"/>
      <c r="AO381" s="287"/>
      <c r="AP381" s="286"/>
      <c r="AQ381" s="296"/>
      <c r="AR381" s="286"/>
      <c r="AS381" s="286"/>
      <c r="AT381" s="286"/>
      <c r="AU381" s="286"/>
      <c r="AV381" s="286"/>
      <c r="AW381" s="286"/>
      <c r="AX381" s="286"/>
      <c r="AY381" s="286"/>
      <c r="AZ381" s="286"/>
      <c r="BA381" s="286"/>
      <c r="BB381" s="286"/>
      <c r="BC381" s="286"/>
      <c r="BD381" s="287"/>
      <c r="BE381" s="287"/>
      <c r="BF381" s="287"/>
      <c r="BG381" s="287"/>
      <c r="BH381" s="287"/>
      <c r="BI381" s="287"/>
      <c r="BJ381" s="287"/>
      <c r="BK381" s="287"/>
      <c r="BL381" s="287"/>
      <c r="BM381" s="287"/>
      <c r="BN381" s="287"/>
      <c r="BO381" s="287"/>
      <c r="BP381" s="287"/>
      <c r="BQ381" s="287"/>
      <c r="BR381" s="287"/>
      <c r="BS381" s="287"/>
      <c r="BT381" s="287"/>
      <c r="BU381" s="287"/>
      <c r="BV381" s="287"/>
      <c r="BW381" s="287"/>
      <c r="BX381" s="286"/>
      <c r="BY381" s="289"/>
      <c r="BZ381" s="289"/>
      <c r="CA381" s="289"/>
      <c r="CB381" s="289"/>
      <c r="CC381" s="289"/>
      <c r="CD381" s="289"/>
      <c r="CE381" s="289"/>
      <c r="CF381" s="289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/>
      <c r="CR381" s="287"/>
      <c r="CS381" s="6"/>
      <c r="CT381" s="6"/>
      <c r="CU381" s="6"/>
      <c r="CV381" s="6"/>
      <c r="CW381" s="6"/>
      <c r="CX381" s="6"/>
      <c r="CY381" s="6"/>
      <c r="CZ381" s="6"/>
      <c r="DA381" s="343">
        <f t="shared" si="10"/>
        <v>0</v>
      </c>
    </row>
    <row r="382" spans="1:105" ht="20" customHeight="1" x14ac:dyDescent="0.35">
      <c r="A382" s="301"/>
      <c r="B382" s="270" t="s">
        <v>979</v>
      </c>
      <c r="C382" s="270" t="s">
        <v>1466</v>
      </c>
      <c r="D382" s="270"/>
      <c r="E382" s="270" t="s">
        <v>555</v>
      </c>
      <c r="F382" s="270" t="s">
        <v>556</v>
      </c>
      <c r="G382" s="270" t="s">
        <v>36</v>
      </c>
      <c r="H382" s="298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>
        <v>66</v>
      </c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7"/>
      <c r="AL382" s="288"/>
      <c r="AM382" s="287"/>
      <c r="AN382" s="287"/>
      <c r="AO382" s="287"/>
      <c r="AP382" s="286"/>
      <c r="AQ382" s="296"/>
      <c r="AR382" s="286"/>
      <c r="AS382" s="286"/>
      <c r="AT382" s="286"/>
      <c r="AU382" s="286"/>
      <c r="AV382" s="286"/>
      <c r="AW382" s="286"/>
      <c r="AX382" s="286"/>
      <c r="AY382" s="286"/>
      <c r="AZ382" s="286"/>
      <c r="BA382" s="286"/>
      <c r="BB382" s="286"/>
      <c r="BC382" s="286"/>
      <c r="BD382" s="287"/>
      <c r="BE382" s="287"/>
      <c r="BF382" s="287"/>
      <c r="BG382" s="287"/>
      <c r="BH382" s="287"/>
      <c r="BI382" s="287">
        <v>66</v>
      </c>
      <c r="BJ382" s="287"/>
      <c r="BK382" s="287"/>
      <c r="BL382" s="287"/>
      <c r="BM382" s="287"/>
      <c r="BN382" s="287"/>
      <c r="BO382" s="287"/>
      <c r="BP382" s="287"/>
      <c r="BQ382" s="287"/>
      <c r="BR382" s="287"/>
      <c r="BS382" s="287"/>
      <c r="BT382" s="287"/>
      <c r="BU382" s="287"/>
      <c r="BV382" s="287"/>
      <c r="BW382" s="287"/>
      <c r="BX382" s="286"/>
      <c r="BY382" s="289"/>
      <c r="BZ382" s="289"/>
      <c r="CA382" s="289"/>
      <c r="CB382" s="289"/>
      <c r="CC382" s="289"/>
      <c r="CD382" s="289"/>
      <c r="CE382" s="289"/>
      <c r="CF382" s="289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6"/>
      <c r="CT382" s="6"/>
      <c r="CU382" s="6"/>
      <c r="CV382" s="6"/>
      <c r="CW382" s="6"/>
      <c r="CX382" s="6"/>
      <c r="CY382" s="6"/>
      <c r="CZ382" s="6"/>
      <c r="DA382" s="343">
        <f t="shared" si="10"/>
        <v>0</v>
      </c>
    </row>
    <row r="383" spans="1:105" ht="20" customHeight="1" x14ac:dyDescent="0.35">
      <c r="A383" s="290"/>
      <c r="B383" s="270" t="s">
        <v>980</v>
      </c>
      <c r="C383" s="270" t="s">
        <v>1467</v>
      </c>
      <c r="D383" s="297" t="s">
        <v>653</v>
      </c>
      <c r="E383" s="270" t="s">
        <v>386</v>
      </c>
      <c r="F383" s="270" t="s">
        <v>1875</v>
      </c>
      <c r="G383" s="270" t="s">
        <v>36</v>
      </c>
      <c r="H383" s="298">
        <v>21</v>
      </c>
      <c r="I383" s="292">
        <v>30</v>
      </c>
      <c r="J383" s="292">
        <v>32</v>
      </c>
      <c r="K383" s="286"/>
      <c r="L383" s="286">
        <v>32</v>
      </c>
      <c r="M383" s="286"/>
      <c r="N383" s="286"/>
      <c r="O383" s="286"/>
      <c r="P383" s="292">
        <v>30</v>
      </c>
      <c r="Q383" s="286">
        <v>32</v>
      </c>
      <c r="R383" s="286">
        <v>30</v>
      </c>
      <c r="S383" s="286">
        <v>32</v>
      </c>
      <c r="T383" s="286">
        <v>32</v>
      </c>
      <c r="U383" s="286"/>
      <c r="V383" s="294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>
        <v>32</v>
      </c>
      <c r="AJ383" s="286"/>
      <c r="AK383" s="295">
        <v>30</v>
      </c>
      <c r="AL383" s="288">
        <v>32</v>
      </c>
      <c r="AM383" s="287">
        <v>28</v>
      </c>
      <c r="AN383" s="287"/>
      <c r="AO383" s="289">
        <v>32</v>
      </c>
      <c r="AP383" s="286">
        <v>32</v>
      </c>
      <c r="AQ383" s="296">
        <v>32</v>
      </c>
      <c r="AR383" s="286">
        <v>32</v>
      </c>
      <c r="AS383" s="286"/>
      <c r="AT383" s="286">
        <v>32</v>
      </c>
      <c r="AU383" s="286">
        <v>32</v>
      </c>
      <c r="AV383" s="286">
        <v>32</v>
      </c>
      <c r="AW383" s="286">
        <v>32</v>
      </c>
      <c r="AX383" s="286">
        <v>32</v>
      </c>
      <c r="AY383" s="286">
        <v>32</v>
      </c>
      <c r="AZ383" s="286">
        <v>32</v>
      </c>
      <c r="BA383" s="286">
        <v>32</v>
      </c>
      <c r="BB383" s="286">
        <f>BA383</f>
        <v>32</v>
      </c>
      <c r="BC383" s="286">
        <v>32</v>
      </c>
      <c r="BD383" s="287"/>
      <c r="BE383" s="287"/>
      <c r="BF383" s="287"/>
      <c r="BG383" s="288">
        <v>30</v>
      </c>
      <c r="BH383" s="287"/>
      <c r="BI383" s="287"/>
      <c r="BJ383" s="287"/>
      <c r="BK383" s="287"/>
      <c r="BL383" s="287"/>
      <c r="BM383" s="287"/>
      <c r="BN383" s="287"/>
      <c r="BO383" s="287"/>
      <c r="BP383" s="287"/>
      <c r="BQ383" s="287"/>
      <c r="BR383" s="287"/>
      <c r="BS383" s="287"/>
      <c r="BT383" s="287"/>
      <c r="BU383" s="287"/>
      <c r="BV383" s="287"/>
      <c r="BW383" s="287"/>
      <c r="BX383" s="286">
        <f>J383</f>
        <v>32</v>
      </c>
      <c r="BY383" s="289"/>
      <c r="BZ383" s="289">
        <v>32</v>
      </c>
      <c r="CA383" s="289"/>
      <c r="CB383" s="289"/>
      <c r="CC383" s="289"/>
      <c r="CD383" s="289"/>
      <c r="CE383" s="289"/>
      <c r="CF383" s="289"/>
      <c r="CG383" s="287"/>
      <c r="CH383" s="287"/>
      <c r="CI383" s="287"/>
      <c r="CJ383" s="287"/>
      <c r="CK383" s="287"/>
      <c r="CL383" s="287"/>
      <c r="CM383" s="292">
        <v>32</v>
      </c>
      <c r="CN383" s="292">
        <v>32</v>
      </c>
      <c r="CO383" s="292">
        <v>32</v>
      </c>
      <c r="CP383" s="287"/>
      <c r="CQ383" s="287">
        <v>30</v>
      </c>
      <c r="CR383" s="287">
        <v>26</v>
      </c>
      <c r="CS383" s="296">
        <v>30</v>
      </c>
      <c r="CT383" s="6"/>
      <c r="CU383" s="6"/>
      <c r="CV383" s="6"/>
      <c r="CW383" s="6"/>
      <c r="CX383" s="6"/>
      <c r="CY383" s="6"/>
      <c r="CZ383" s="6"/>
      <c r="DA383" s="343">
        <f t="shared" si="10"/>
        <v>21</v>
      </c>
    </row>
    <row r="384" spans="1:105" ht="20" customHeight="1" x14ac:dyDescent="0.35">
      <c r="A384" s="290"/>
      <c r="B384" s="270" t="s">
        <v>981</v>
      </c>
      <c r="C384" s="270" t="s">
        <v>238</v>
      </c>
      <c r="D384" s="297" t="s">
        <v>653</v>
      </c>
      <c r="E384" s="270" t="s">
        <v>323</v>
      </c>
      <c r="F384" s="270" t="s">
        <v>451</v>
      </c>
      <c r="G384" s="270" t="s">
        <v>36</v>
      </c>
      <c r="H384" s="298">
        <v>17</v>
      </c>
      <c r="I384" s="292">
        <v>24</v>
      </c>
      <c r="J384" s="292">
        <v>24</v>
      </c>
      <c r="K384" s="286"/>
      <c r="L384" s="286"/>
      <c r="M384" s="286"/>
      <c r="N384" s="286"/>
      <c r="O384" s="286"/>
      <c r="P384" s="292">
        <v>24</v>
      </c>
      <c r="Q384" s="286">
        <v>24</v>
      </c>
      <c r="R384" s="286">
        <v>24</v>
      </c>
      <c r="S384" s="286"/>
      <c r="T384" s="286">
        <v>24</v>
      </c>
      <c r="U384" s="286"/>
      <c r="V384" s="294"/>
      <c r="W384" s="286"/>
      <c r="X384" s="286"/>
      <c r="Y384" s="286"/>
      <c r="Z384" s="286"/>
      <c r="AA384" s="286"/>
      <c r="AB384" s="286"/>
      <c r="AC384" s="286">
        <v>24</v>
      </c>
      <c r="AD384" s="286"/>
      <c r="AE384" s="286"/>
      <c r="AF384" s="286"/>
      <c r="AG384" s="286"/>
      <c r="AH384" s="286"/>
      <c r="AI384" s="286"/>
      <c r="AJ384" s="286"/>
      <c r="AK384" s="287"/>
      <c r="AL384" s="288"/>
      <c r="AM384" s="287"/>
      <c r="AN384" s="287"/>
      <c r="AO384" s="287"/>
      <c r="AP384" s="286">
        <v>24</v>
      </c>
      <c r="AQ384" s="296"/>
      <c r="AR384" s="286">
        <v>24</v>
      </c>
      <c r="AS384" s="286"/>
      <c r="AT384" s="286">
        <v>24</v>
      </c>
      <c r="AU384" s="286">
        <v>24</v>
      </c>
      <c r="AV384" s="286">
        <v>24</v>
      </c>
      <c r="AW384" s="286">
        <v>24</v>
      </c>
      <c r="AX384" s="286">
        <v>24</v>
      </c>
      <c r="AY384" s="286">
        <v>24</v>
      </c>
      <c r="AZ384" s="286">
        <v>24</v>
      </c>
      <c r="BA384" s="286">
        <v>24</v>
      </c>
      <c r="BB384" s="286">
        <f>BA384</f>
        <v>24</v>
      </c>
      <c r="BC384" s="286">
        <v>24</v>
      </c>
      <c r="BD384" s="287"/>
      <c r="BE384" s="287"/>
      <c r="BF384" s="287"/>
      <c r="BG384" s="287"/>
      <c r="BH384" s="287"/>
      <c r="BI384" s="287"/>
      <c r="BJ384" s="287"/>
      <c r="BK384" s="287"/>
      <c r="BL384" s="287"/>
      <c r="BM384" s="287"/>
      <c r="BN384" s="287"/>
      <c r="BO384" s="287"/>
      <c r="BP384" s="287"/>
      <c r="BQ384" s="287"/>
      <c r="BR384" s="287"/>
      <c r="BS384" s="287"/>
      <c r="BT384" s="287"/>
      <c r="BU384" s="287"/>
      <c r="BV384" s="287"/>
      <c r="BW384" s="287"/>
      <c r="BX384" s="286"/>
      <c r="BY384" s="289"/>
      <c r="BZ384" s="289"/>
      <c r="CA384" s="289"/>
      <c r="CB384" s="289"/>
      <c r="CC384" s="289"/>
      <c r="CD384" s="289"/>
      <c r="CE384" s="289"/>
      <c r="CF384" s="289"/>
      <c r="CG384" s="287"/>
      <c r="CH384" s="287"/>
      <c r="CI384" s="287"/>
      <c r="CJ384" s="287"/>
      <c r="CK384" s="287"/>
      <c r="CL384" s="287"/>
      <c r="CM384" s="287"/>
      <c r="CN384" s="287"/>
      <c r="CO384" s="286">
        <v>24</v>
      </c>
      <c r="CP384" s="287"/>
      <c r="CQ384" s="287">
        <v>24</v>
      </c>
      <c r="CR384" s="287"/>
      <c r="CS384" s="296">
        <v>24</v>
      </c>
      <c r="CT384" s="6"/>
      <c r="CU384" s="6"/>
      <c r="CV384" s="6"/>
      <c r="CW384" s="6"/>
      <c r="CX384" s="6"/>
      <c r="CY384" s="6"/>
      <c r="CZ384" s="6"/>
      <c r="DA384" s="343">
        <f t="shared" si="10"/>
        <v>17</v>
      </c>
    </row>
    <row r="385" spans="1:105" ht="20" customHeight="1" x14ac:dyDescent="0.35">
      <c r="A385" s="290"/>
      <c r="B385" s="270" t="s">
        <v>986</v>
      </c>
      <c r="C385" s="270" t="s">
        <v>982</v>
      </c>
      <c r="D385" s="270" t="s">
        <v>983</v>
      </c>
      <c r="E385" s="270" t="s">
        <v>984</v>
      </c>
      <c r="F385" s="270" t="s">
        <v>985</v>
      </c>
      <c r="G385" s="270" t="s">
        <v>36</v>
      </c>
      <c r="H385" s="298">
        <v>31.2</v>
      </c>
      <c r="I385" s="292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94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95">
        <v>38</v>
      </c>
      <c r="AL385" s="288"/>
      <c r="AM385" s="287"/>
      <c r="AN385" s="287"/>
      <c r="AO385" s="287"/>
      <c r="AP385" s="286"/>
      <c r="AQ385" s="29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7"/>
      <c r="BE385" s="287"/>
      <c r="BF385" s="287"/>
      <c r="BG385" s="288">
        <v>37</v>
      </c>
      <c r="BH385" s="287"/>
      <c r="BI385" s="287"/>
      <c r="BJ385" s="287"/>
      <c r="BK385" s="287"/>
      <c r="BL385" s="287"/>
      <c r="BM385" s="287"/>
      <c r="BN385" s="287"/>
      <c r="BO385" s="287"/>
      <c r="BP385" s="287"/>
      <c r="BQ385" s="287"/>
      <c r="BR385" s="287"/>
      <c r="BS385" s="287"/>
      <c r="BT385" s="287"/>
      <c r="BU385" s="287"/>
      <c r="BV385" s="287"/>
      <c r="BW385" s="287"/>
      <c r="BX385" s="286"/>
      <c r="BY385" s="289"/>
      <c r="BZ385" s="289"/>
      <c r="CA385" s="289"/>
      <c r="CB385" s="289"/>
      <c r="CC385" s="289"/>
      <c r="CD385" s="289"/>
      <c r="CE385" s="289"/>
      <c r="CF385" s="289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>
        <v>38</v>
      </c>
      <c r="CR385" s="287"/>
      <c r="CS385" s="6"/>
      <c r="CT385" s="6"/>
      <c r="CU385" s="6"/>
      <c r="CV385" s="6"/>
      <c r="CW385" s="6"/>
      <c r="CX385" s="6"/>
      <c r="CY385" s="6"/>
      <c r="CZ385" s="6"/>
      <c r="DA385" s="343">
        <f t="shared" si="10"/>
        <v>31.2</v>
      </c>
    </row>
    <row r="386" spans="1:105" ht="20" customHeight="1" x14ac:dyDescent="0.35">
      <c r="A386" s="290"/>
      <c r="B386" s="270" t="s">
        <v>987</v>
      </c>
      <c r="C386" s="270" t="s">
        <v>1658</v>
      </c>
      <c r="D386" s="297" t="s">
        <v>653</v>
      </c>
      <c r="E386" s="270" t="s">
        <v>386</v>
      </c>
      <c r="F386" s="270" t="s">
        <v>452</v>
      </c>
      <c r="G386" s="270" t="s">
        <v>36</v>
      </c>
      <c r="H386" s="298">
        <v>28</v>
      </c>
      <c r="I386" s="292"/>
      <c r="J386" s="286"/>
      <c r="K386" s="286"/>
      <c r="L386" s="286"/>
      <c r="M386" s="286"/>
      <c r="N386" s="292">
        <v>38</v>
      </c>
      <c r="O386" s="286">
        <v>38</v>
      </c>
      <c r="P386" s="292">
        <v>38</v>
      </c>
      <c r="Q386" s="286"/>
      <c r="R386" s="286">
        <v>38</v>
      </c>
      <c r="S386" s="286"/>
      <c r="T386" s="286"/>
      <c r="U386" s="286"/>
      <c r="V386" s="294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>
        <v>36</v>
      </c>
      <c r="AK386" s="295">
        <v>36</v>
      </c>
      <c r="AL386" s="288"/>
      <c r="AM386" s="287"/>
      <c r="AN386" s="287"/>
      <c r="AO386" s="287"/>
      <c r="AP386" s="286"/>
      <c r="AQ386" s="296">
        <v>36</v>
      </c>
      <c r="AR386" s="286"/>
      <c r="AS386" s="286"/>
      <c r="AT386" s="286"/>
      <c r="AU386" s="286"/>
      <c r="AV386" s="286"/>
      <c r="AW386" s="286"/>
      <c r="AX386" s="286"/>
      <c r="AY386" s="286"/>
      <c r="AZ386" s="286"/>
      <c r="BA386" s="286"/>
      <c r="BB386" s="286"/>
      <c r="BC386" s="286"/>
      <c r="BD386" s="287"/>
      <c r="BE386" s="287"/>
      <c r="BF386" s="287"/>
      <c r="BG386" s="288">
        <v>36</v>
      </c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287"/>
      <c r="BR386" s="287"/>
      <c r="BS386" s="287"/>
      <c r="BT386" s="287"/>
      <c r="BU386" s="287"/>
      <c r="BV386" s="287"/>
      <c r="BW386" s="287"/>
      <c r="BX386" s="286"/>
      <c r="BY386" s="289"/>
      <c r="BZ386" s="289"/>
      <c r="CA386" s="289"/>
      <c r="CB386" s="289"/>
      <c r="CC386" s="289"/>
      <c r="CD386" s="289"/>
      <c r="CE386" s="289"/>
      <c r="CF386" s="289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>
        <v>36</v>
      </c>
      <c r="CR386" s="287"/>
      <c r="CS386" s="6"/>
      <c r="CT386" s="6"/>
      <c r="CU386" s="6"/>
      <c r="CV386" s="6"/>
      <c r="CW386" s="6"/>
      <c r="CX386" s="6"/>
      <c r="CY386" s="6"/>
      <c r="CZ386" s="6"/>
      <c r="DA386" s="343">
        <f t="shared" si="10"/>
        <v>28</v>
      </c>
    </row>
    <row r="387" spans="1:105" ht="20" customHeight="1" x14ac:dyDescent="0.35">
      <c r="A387" s="290"/>
      <c r="B387" s="270" t="s">
        <v>988</v>
      </c>
      <c r="C387" s="270" t="s">
        <v>283</v>
      </c>
      <c r="D387" s="270"/>
      <c r="E387" s="270" t="s">
        <v>34</v>
      </c>
      <c r="F387" s="270" t="s">
        <v>37</v>
      </c>
      <c r="G387" s="270" t="s">
        <v>31</v>
      </c>
      <c r="H387" s="298"/>
      <c r="I387" s="292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94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7"/>
      <c r="AL387" s="288"/>
      <c r="AM387" s="287"/>
      <c r="AN387" s="287"/>
      <c r="AO387" s="287"/>
      <c r="AP387" s="286"/>
      <c r="AQ387" s="296"/>
      <c r="AR387" s="286"/>
      <c r="AS387" s="286"/>
      <c r="AT387" s="286"/>
      <c r="AU387" s="286"/>
      <c r="AV387" s="286"/>
      <c r="AW387" s="286"/>
      <c r="AX387" s="286"/>
      <c r="AY387" s="286"/>
      <c r="AZ387" s="286"/>
      <c r="BA387" s="286"/>
      <c r="BB387" s="286"/>
      <c r="BC387" s="286"/>
      <c r="BD387" s="287"/>
      <c r="BE387" s="287"/>
      <c r="BF387" s="287"/>
      <c r="BG387" s="287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287"/>
      <c r="BT387" s="287"/>
      <c r="BU387" s="287"/>
      <c r="BV387" s="287"/>
      <c r="BW387" s="287"/>
      <c r="BX387" s="286"/>
      <c r="BY387" s="289"/>
      <c r="BZ387" s="289"/>
      <c r="CA387" s="289"/>
      <c r="CB387" s="289"/>
      <c r="CC387" s="289"/>
      <c r="CD387" s="289"/>
      <c r="CE387" s="289"/>
      <c r="CF387" s="289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6"/>
      <c r="CT387" s="6"/>
      <c r="CU387" s="6"/>
      <c r="CV387" s="6"/>
      <c r="CW387" s="6"/>
      <c r="CX387" s="6"/>
      <c r="CY387" s="6"/>
      <c r="CZ387" s="6"/>
      <c r="DA387" s="343">
        <f t="shared" si="10"/>
        <v>0</v>
      </c>
    </row>
    <row r="388" spans="1:105" ht="20" customHeight="1" x14ac:dyDescent="0.35">
      <c r="A388" s="301"/>
      <c r="B388" s="270" t="s">
        <v>989</v>
      </c>
      <c r="C388" s="270" t="s">
        <v>1468</v>
      </c>
      <c r="D388" s="270"/>
      <c r="E388" s="270" t="s">
        <v>43</v>
      </c>
      <c r="F388" s="270" t="s">
        <v>449</v>
      </c>
      <c r="G388" s="270" t="s">
        <v>36</v>
      </c>
      <c r="H388" s="298">
        <v>16</v>
      </c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7"/>
      <c r="AL388" s="288"/>
      <c r="AM388" s="287"/>
      <c r="AN388" s="287"/>
      <c r="AO388" s="287"/>
      <c r="AP388" s="286"/>
      <c r="AQ388" s="296"/>
      <c r="AR388" s="286"/>
      <c r="AS388" s="286"/>
      <c r="AT388" s="286"/>
      <c r="AU388" s="286"/>
      <c r="AV388" s="286"/>
      <c r="AW388" s="286"/>
      <c r="AX388" s="286"/>
      <c r="AY388" s="286"/>
      <c r="AZ388" s="286"/>
      <c r="BA388" s="286"/>
      <c r="BB388" s="286"/>
      <c r="BC388" s="286"/>
      <c r="BD388" s="287"/>
      <c r="BE388" s="287"/>
      <c r="BF388" s="287"/>
      <c r="BG388" s="287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287"/>
      <c r="BT388" s="287"/>
      <c r="BU388" s="287"/>
      <c r="BV388" s="287"/>
      <c r="BW388" s="287"/>
      <c r="BX388" s="286"/>
      <c r="BY388" s="289"/>
      <c r="BZ388" s="289"/>
      <c r="CA388" s="289"/>
      <c r="CB388" s="289"/>
      <c r="CC388" s="289"/>
      <c r="CD388" s="289"/>
      <c r="CE388" s="289"/>
      <c r="CF388" s="289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6"/>
      <c r="CT388" s="6"/>
      <c r="CU388" s="6"/>
      <c r="CV388" s="6"/>
      <c r="CW388" s="6"/>
      <c r="CX388" s="6"/>
      <c r="CY388" s="6"/>
      <c r="CZ388" s="6"/>
      <c r="DA388" s="343">
        <f t="shared" si="10"/>
        <v>16</v>
      </c>
    </row>
    <row r="389" spans="1:105" ht="20" customHeight="1" x14ac:dyDescent="0.35">
      <c r="A389" s="290"/>
      <c r="B389" s="270" t="s">
        <v>990</v>
      </c>
      <c r="C389" s="270" t="s">
        <v>264</v>
      </c>
      <c r="D389" s="297" t="s">
        <v>330</v>
      </c>
      <c r="E389" s="270" t="s">
        <v>52</v>
      </c>
      <c r="F389" s="270" t="s">
        <v>453</v>
      </c>
      <c r="G389" s="270" t="s">
        <v>36</v>
      </c>
      <c r="H389" s="298">
        <v>35.799999999999997</v>
      </c>
      <c r="I389" s="292">
        <v>42</v>
      </c>
      <c r="J389" s="292">
        <v>42</v>
      </c>
      <c r="K389" s="286"/>
      <c r="L389" s="286"/>
      <c r="M389" s="286"/>
      <c r="N389" s="286"/>
      <c r="O389" s="286">
        <v>42</v>
      </c>
      <c r="P389" s="292">
        <v>42</v>
      </c>
      <c r="Q389" s="286">
        <v>42</v>
      </c>
      <c r="R389" s="286"/>
      <c r="S389" s="286">
        <v>42</v>
      </c>
      <c r="T389" s="286">
        <v>42</v>
      </c>
      <c r="U389" s="286">
        <v>42</v>
      </c>
      <c r="V389" s="294"/>
      <c r="W389" s="286"/>
      <c r="X389" s="286"/>
      <c r="Y389" s="286">
        <v>42</v>
      </c>
      <c r="Z389" s="286">
        <v>42</v>
      </c>
      <c r="AA389" s="286"/>
      <c r="AB389" s="286"/>
      <c r="AC389" s="286">
        <v>42</v>
      </c>
      <c r="AD389" s="286"/>
      <c r="AE389" s="286"/>
      <c r="AF389" s="286"/>
      <c r="AG389" s="286"/>
      <c r="AH389" s="286"/>
      <c r="AI389" s="286">
        <v>42</v>
      </c>
      <c r="AJ389" s="286">
        <v>42</v>
      </c>
      <c r="AK389" s="295">
        <v>42</v>
      </c>
      <c r="AL389" s="288">
        <v>42</v>
      </c>
      <c r="AM389" s="287"/>
      <c r="AN389" s="287"/>
      <c r="AO389" s="286">
        <v>42</v>
      </c>
      <c r="AP389" s="286">
        <v>42</v>
      </c>
      <c r="AQ389" s="296">
        <v>42</v>
      </c>
      <c r="AR389" s="286">
        <v>42</v>
      </c>
      <c r="AS389" s="286"/>
      <c r="AT389" s="286">
        <v>42</v>
      </c>
      <c r="AU389" s="286">
        <v>42</v>
      </c>
      <c r="AV389" s="286">
        <v>42</v>
      </c>
      <c r="AW389" s="286">
        <v>42</v>
      </c>
      <c r="AX389" s="286">
        <v>42</v>
      </c>
      <c r="AY389" s="286">
        <v>42</v>
      </c>
      <c r="AZ389" s="286">
        <v>42</v>
      </c>
      <c r="BA389" s="286">
        <v>42</v>
      </c>
      <c r="BB389" s="286">
        <f>BA389</f>
        <v>42</v>
      </c>
      <c r="BC389" s="286">
        <v>42</v>
      </c>
      <c r="BD389" s="287"/>
      <c r="BE389" s="286">
        <v>42</v>
      </c>
      <c r="BF389" s="287"/>
      <c r="BG389" s="288">
        <v>42</v>
      </c>
      <c r="BH389" s="286">
        <v>42</v>
      </c>
      <c r="BI389" s="287"/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287"/>
      <c r="BT389" s="287"/>
      <c r="BU389" s="287"/>
      <c r="BV389" s="287"/>
      <c r="BW389" s="287"/>
      <c r="BX389" s="286">
        <f>J389</f>
        <v>42</v>
      </c>
      <c r="BY389" s="289"/>
      <c r="BZ389" s="289">
        <v>42</v>
      </c>
      <c r="CA389" s="289"/>
      <c r="CB389" s="289"/>
      <c r="CC389" s="289"/>
      <c r="CD389" s="289"/>
      <c r="CE389" s="289"/>
      <c r="CF389" s="289"/>
      <c r="CG389" s="287"/>
      <c r="CH389" s="287"/>
      <c r="CI389" s="287"/>
      <c r="CJ389" s="287"/>
      <c r="CK389" s="287"/>
      <c r="CL389" s="287"/>
      <c r="CM389" s="292">
        <v>42</v>
      </c>
      <c r="CN389" s="292">
        <v>42</v>
      </c>
      <c r="CO389" s="292">
        <v>42</v>
      </c>
      <c r="CP389" s="287"/>
      <c r="CQ389" s="287">
        <v>42</v>
      </c>
      <c r="CR389" s="292">
        <v>43</v>
      </c>
      <c r="CS389" s="296">
        <v>42</v>
      </c>
      <c r="CT389" s="6"/>
      <c r="CU389" s="6"/>
      <c r="CV389" s="6"/>
      <c r="CW389" s="6"/>
      <c r="CX389" s="6"/>
      <c r="CY389" s="6"/>
      <c r="CZ389" s="6"/>
      <c r="DA389" s="343">
        <f t="shared" si="10"/>
        <v>35.799999999999997</v>
      </c>
    </row>
    <row r="390" spans="1:105" ht="20" customHeight="1" x14ac:dyDescent="0.35">
      <c r="A390" s="290"/>
      <c r="B390" s="270" t="s">
        <v>991</v>
      </c>
      <c r="C390" s="270" t="s">
        <v>1770</v>
      </c>
      <c r="D390" s="297" t="s">
        <v>330</v>
      </c>
      <c r="E390" s="270" t="s">
        <v>52</v>
      </c>
      <c r="F390" s="270" t="s">
        <v>454</v>
      </c>
      <c r="G390" s="270" t="s">
        <v>36</v>
      </c>
      <c r="H390" s="298">
        <v>21.5</v>
      </c>
      <c r="I390" s="292"/>
      <c r="J390" s="286">
        <v>26</v>
      </c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94"/>
      <c r="W390" s="286"/>
      <c r="X390" s="286"/>
      <c r="Y390" s="286"/>
      <c r="Z390" s="286">
        <v>26</v>
      </c>
      <c r="AA390" s="286"/>
      <c r="AB390" s="286">
        <v>24</v>
      </c>
      <c r="AC390" s="286">
        <v>24</v>
      </c>
      <c r="AD390" s="286"/>
      <c r="AE390" s="286"/>
      <c r="AF390" s="286"/>
      <c r="AG390" s="286"/>
      <c r="AH390" s="286"/>
      <c r="AI390" s="286"/>
      <c r="AJ390" s="286"/>
      <c r="AK390" s="287"/>
      <c r="AL390" s="288"/>
      <c r="AM390" s="287"/>
      <c r="AN390" s="287"/>
      <c r="AO390" s="287"/>
      <c r="AP390" s="286"/>
      <c r="AQ390" s="296">
        <v>26</v>
      </c>
      <c r="AR390" s="286"/>
      <c r="AS390" s="286"/>
      <c r="AT390" s="286"/>
      <c r="AU390" s="286"/>
      <c r="AV390" s="286"/>
      <c r="AW390" s="286"/>
      <c r="AX390" s="286"/>
      <c r="AY390" s="286">
        <v>26</v>
      </c>
      <c r="AZ390" s="286"/>
      <c r="BA390" s="286"/>
      <c r="BB390" s="286"/>
      <c r="BC390" s="286"/>
      <c r="BD390" s="287"/>
      <c r="BE390" s="287"/>
      <c r="BF390" s="287"/>
      <c r="BG390" s="288">
        <v>24</v>
      </c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287"/>
      <c r="BT390" s="287"/>
      <c r="BU390" s="287">
        <v>25</v>
      </c>
      <c r="BV390" s="287"/>
      <c r="BW390" s="287"/>
      <c r="BX390" s="286"/>
      <c r="BY390" s="289">
        <v>23</v>
      </c>
      <c r="BZ390" s="289"/>
      <c r="CA390" s="289">
        <v>23</v>
      </c>
      <c r="CB390" s="289"/>
      <c r="CC390" s="289"/>
      <c r="CD390" s="289"/>
      <c r="CE390" s="289"/>
      <c r="CF390" s="289"/>
      <c r="CG390" s="287"/>
      <c r="CH390" s="287"/>
      <c r="CI390" s="287"/>
      <c r="CJ390" s="287"/>
      <c r="CK390" s="287"/>
      <c r="CL390" s="287"/>
      <c r="CM390" s="287"/>
      <c r="CN390" s="287"/>
      <c r="CO390" s="287"/>
      <c r="CP390" s="287"/>
      <c r="CQ390" s="287"/>
      <c r="CR390" s="287"/>
      <c r="CS390" s="287"/>
      <c r="CT390" s="6"/>
      <c r="CU390" s="6"/>
      <c r="CV390" s="6"/>
      <c r="CW390" s="6"/>
      <c r="CX390" s="6"/>
      <c r="CY390" s="6"/>
      <c r="CZ390" s="6"/>
      <c r="DA390" s="343">
        <f t="shared" si="10"/>
        <v>21.5</v>
      </c>
    </row>
    <row r="391" spans="1:105" ht="20" customHeight="1" x14ac:dyDescent="0.35">
      <c r="A391" s="290"/>
      <c r="B391" s="306" t="s">
        <v>1424</v>
      </c>
      <c r="C391" s="270" t="s">
        <v>264</v>
      </c>
      <c r="D391" s="270"/>
      <c r="E391" s="270" t="s">
        <v>52</v>
      </c>
      <c r="F391" s="270" t="s">
        <v>1425</v>
      </c>
      <c r="G391" s="270" t="s">
        <v>38</v>
      </c>
      <c r="H391" s="298"/>
      <c r="I391" s="292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94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7"/>
      <c r="AL391" s="288"/>
      <c r="AM391" s="287"/>
      <c r="AN391" s="287"/>
      <c r="AO391" s="287"/>
      <c r="AP391" s="286"/>
      <c r="AQ391" s="296"/>
      <c r="AR391" s="286"/>
      <c r="AS391" s="286"/>
      <c r="AT391" s="286"/>
      <c r="AU391" s="286"/>
      <c r="AV391" s="286"/>
      <c r="AW391" s="286"/>
      <c r="AX391" s="286"/>
      <c r="AY391" s="286"/>
      <c r="AZ391" s="286"/>
      <c r="BA391" s="286"/>
      <c r="BB391" s="286"/>
      <c r="BC391" s="286"/>
      <c r="BD391" s="287"/>
      <c r="BE391" s="287"/>
      <c r="BF391" s="287"/>
      <c r="BG391" s="287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287"/>
      <c r="BT391" s="287"/>
      <c r="BU391" s="287"/>
      <c r="BV391" s="287"/>
      <c r="BW391" s="287"/>
      <c r="BX391" s="286"/>
      <c r="BY391" s="289"/>
      <c r="BZ391" s="289"/>
      <c r="CA391" s="289"/>
      <c r="CB391" s="289"/>
      <c r="CC391" s="289"/>
      <c r="CD391" s="289"/>
      <c r="CE391" s="289"/>
      <c r="CF391" s="289"/>
      <c r="CG391" s="287"/>
      <c r="CH391" s="287"/>
      <c r="CI391" s="287"/>
      <c r="CJ391" s="287"/>
      <c r="CK391" s="287"/>
      <c r="CL391" s="287"/>
      <c r="CM391" s="287"/>
      <c r="CN391" s="287"/>
      <c r="CO391" s="287"/>
      <c r="CP391" s="287"/>
      <c r="CQ391" s="287"/>
      <c r="CR391" s="287"/>
      <c r="CS391" s="6"/>
      <c r="CT391" s="6"/>
      <c r="CU391" s="6"/>
      <c r="CV391" s="6"/>
      <c r="CW391" s="6"/>
      <c r="CX391" s="6"/>
      <c r="CY391" s="6"/>
      <c r="CZ391" s="6"/>
      <c r="DA391" s="343">
        <f t="shared" ref="DA391:DA467" si="13">H391</f>
        <v>0</v>
      </c>
    </row>
    <row r="392" spans="1:105" ht="20" customHeight="1" x14ac:dyDescent="0.35">
      <c r="A392" s="290"/>
      <c r="B392" s="270" t="s">
        <v>992</v>
      </c>
      <c r="C392" s="270" t="s">
        <v>272</v>
      </c>
      <c r="D392" s="297" t="s">
        <v>646</v>
      </c>
      <c r="E392" s="270" t="s">
        <v>34</v>
      </c>
      <c r="F392" s="270" t="s">
        <v>1536</v>
      </c>
      <c r="G392" s="270" t="s">
        <v>42</v>
      </c>
      <c r="H392" s="298">
        <v>13</v>
      </c>
      <c r="I392" s="292">
        <v>16</v>
      </c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94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7"/>
      <c r="AL392" s="288"/>
      <c r="AM392" s="287"/>
      <c r="AN392" s="287"/>
      <c r="AO392" s="287"/>
      <c r="AP392" s="286"/>
      <c r="AQ392" s="296"/>
      <c r="AR392" s="286"/>
      <c r="AS392" s="286"/>
      <c r="AT392" s="286"/>
      <c r="AU392" s="286"/>
      <c r="AV392" s="286"/>
      <c r="AW392" s="286"/>
      <c r="AX392" s="286"/>
      <c r="AY392" s="286"/>
      <c r="AZ392" s="286"/>
      <c r="BA392" s="286"/>
      <c r="BB392" s="286"/>
      <c r="BC392" s="286"/>
      <c r="BD392" s="287"/>
      <c r="BE392" s="287"/>
      <c r="BF392" s="287"/>
      <c r="BG392" s="287"/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287"/>
      <c r="BT392" s="287"/>
      <c r="BU392" s="287"/>
      <c r="BV392" s="287"/>
      <c r="BW392" s="287"/>
      <c r="BX392" s="286"/>
      <c r="BY392" s="289"/>
      <c r="BZ392" s="289"/>
      <c r="CA392" s="289"/>
      <c r="CB392" s="289"/>
      <c r="CC392" s="289"/>
      <c r="CD392" s="289"/>
      <c r="CE392" s="289"/>
      <c r="CF392" s="289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/>
      <c r="CR392" s="287"/>
      <c r="CS392" s="6"/>
      <c r="CT392" s="6"/>
      <c r="CU392" s="6"/>
      <c r="CV392" s="6"/>
      <c r="CW392" s="6"/>
      <c r="CX392" s="6"/>
      <c r="CY392" s="6"/>
      <c r="CZ392" s="6"/>
      <c r="DA392" s="343">
        <f t="shared" si="13"/>
        <v>13</v>
      </c>
    </row>
    <row r="393" spans="1:105" ht="20" customHeight="1" x14ac:dyDescent="0.35">
      <c r="A393" s="290"/>
      <c r="B393" s="270" t="s">
        <v>993</v>
      </c>
      <c r="C393" s="270" t="s">
        <v>264</v>
      </c>
      <c r="D393" s="297" t="s">
        <v>330</v>
      </c>
      <c r="E393" s="270" t="s">
        <v>154</v>
      </c>
      <c r="F393" s="270" t="s">
        <v>453</v>
      </c>
      <c r="G393" s="270" t="s">
        <v>36</v>
      </c>
      <c r="H393" s="298">
        <f>3450/113</f>
        <v>30.530973451327434</v>
      </c>
      <c r="I393" s="292"/>
      <c r="J393" s="286"/>
      <c r="K393" s="286"/>
      <c r="L393" s="286"/>
      <c r="M393" s="286"/>
      <c r="N393" s="286"/>
      <c r="O393" s="286">
        <v>42</v>
      </c>
      <c r="P393" s="286"/>
      <c r="Q393" s="286"/>
      <c r="R393" s="286"/>
      <c r="S393" s="286"/>
      <c r="T393" s="286"/>
      <c r="U393" s="286"/>
      <c r="V393" s="294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95"/>
      <c r="AL393" s="288"/>
      <c r="AM393" s="287">
        <v>39</v>
      </c>
      <c r="AN393" s="287"/>
      <c r="AO393" s="287"/>
      <c r="AP393" s="286"/>
      <c r="AQ393" s="296"/>
      <c r="AR393" s="286"/>
      <c r="AS393" s="286"/>
      <c r="AT393" s="286"/>
      <c r="AU393" s="286"/>
      <c r="AV393" s="286"/>
      <c r="AW393" s="286"/>
      <c r="AX393" s="286"/>
      <c r="AY393" s="286"/>
      <c r="AZ393" s="286"/>
      <c r="BA393" s="286"/>
      <c r="BB393" s="286"/>
      <c r="BC393" s="286"/>
      <c r="BD393" s="287"/>
      <c r="BE393" s="287"/>
      <c r="BF393" s="287"/>
      <c r="BG393" s="288">
        <v>38</v>
      </c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287"/>
      <c r="BT393" s="287"/>
      <c r="BU393" s="287"/>
      <c r="BV393" s="287"/>
      <c r="BW393" s="287"/>
      <c r="BX393" s="286"/>
      <c r="BY393" s="289"/>
      <c r="BZ393" s="289"/>
      <c r="CA393" s="289"/>
      <c r="CB393" s="289"/>
      <c r="CC393" s="289"/>
      <c r="CD393" s="289"/>
      <c r="CE393" s="289"/>
      <c r="CF393" s="289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/>
      <c r="CR393" s="287"/>
      <c r="CS393" s="287"/>
      <c r="CT393" s="6"/>
      <c r="CU393" s="6"/>
      <c r="CV393" s="6"/>
      <c r="CW393" s="6"/>
      <c r="CX393" s="6"/>
      <c r="CY393" s="6"/>
      <c r="CZ393" s="6"/>
      <c r="DA393" s="343">
        <f t="shared" si="13"/>
        <v>30.530973451327434</v>
      </c>
    </row>
    <row r="394" spans="1:105" ht="20" customHeight="1" x14ac:dyDescent="0.35">
      <c r="A394" s="290"/>
      <c r="B394" s="270" t="s">
        <v>994</v>
      </c>
      <c r="C394" s="270" t="s">
        <v>327</v>
      </c>
      <c r="D394" s="297" t="s">
        <v>627</v>
      </c>
      <c r="E394" s="270" t="s">
        <v>34</v>
      </c>
      <c r="F394" s="270" t="s">
        <v>147</v>
      </c>
      <c r="G394" s="270" t="s">
        <v>44</v>
      </c>
      <c r="H394" s="298">
        <v>6.5</v>
      </c>
      <c r="I394" s="292"/>
      <c r="J394" s="286"/>
      <c r="K394" s="286"/>
      <c r="L394" s="286">
        <f>1.8*6</f>
        <v>10.8</v>
      </c>
      <c r="M394" s="286"/>
      <c r="N394" s="286"/>
      <c r="O394" s="286"/>
      <c r="P394" s="286"/>
      <c r="Q394" s="286"/>
      <c r="R394" s="286">
        <v>21</v>
      </c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7"/>
      <c r="AL394" s="288"/>
      <c r="AM394" s="287"/>
      <c r="AN394" s="287"/>
      <c r="AO394" s="287"/>
      <c r="AP394" s="286"/>
      <c r="AQ394" s="296"/>
      <c r="AR394" s="286"/>
      <c r="AS394" s="286"/>
      <c r="AT394" s="286"/>
      <c r="AU394" s="286"/>
      <c r="AV394" s="286"/>
      <c r="AW394" s="286"/>
      <c r="AX394" s="286"/>
      <c r="AY394" s="286"/>
      <c r="AZ394" s="286"/>
      <c r="BA394" s="286"/>
      <c r="BB394" s="286"/>
      <c r="BC394" s="286"/>
      <c r="BD394" s="287"/>
      <c r="BE394" s="287"/>
      <c r="BF394" s="287"/>
      <c r="BG394" s="287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287"/>
      <c r="BT394" s="287"/>
      <c r="BU394" s="287"/>
      <c r="BV394" s="287"/>
      <c r="BW394" s="287"/>
      <c r="BX394" s="286"/>
      <c r="BY394" s="289"/>
      <c r="BZ394" s="289"/>
      <c r="CA394" s="289"/>
      <c r="CB394" s="289"/>
      <c r="CC394" s="289"/>
      <c r="CD394" s="289"/>
      <c r="CE394" s="289"/>
      <c r="CF394" s="289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287"/>
      <c r="CT394" s="6"/>
      <c r="CU394" s="6"/>
      <c r="CV394" s="6"/>
      <c r="CW394" s="6"/>
      <c r="CX394" s="6"/>
      <c r="CY394" s="6"/>
      <c r="CZ394" s="6"/>
      <c r="DA394" s="343">
        <f t="shared" si="13"/>
        <v>6.5</v>
      </c>
    </row>
    <row r="395" spans="1:105" ht="20" customHeight="1" x14ac:dyDescent="0.35">
      <c r="A395" s="290"/>
      <c r="B395" s="270" t="s">
        <v>2019</v>
      </c>
      <c r="C395" s="270" t="s">
        <v>327</v>
      </c>
      <c r="D395" s="297" t="s">
        <v>627</v>
      </c>
      <c r="E395" s="270" t="s">
        <v>34</v>
      </c>
      <c r="F395" s="270" t="s">
        <v>2020</v>
      </c>
      <c r="G395" s="270" t="s">
        <v>156</v>
      </c>
      <c r="H395" s="298">
        <f>6.5/6</f>
        <v>1.0833333333333333</v>
      </c>
      <c r="I395" s="292"/>
      <c r="J395" s="286"/>
      <c r="K395" s="286"/>
      <c r="L395" s="286">
        <f>1.8*6</f>
        <v>10.8</v>
      </c>
      <c r="M395" s="286"/>
      <c r="N395" s="286"/>
      <c r="O395" s="286"/>
      <c r="P395" s="286"/>
      <c r="Q395" s="286"/>
      <c r="R395" s="286">
        <v>21</v>
      </c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7"/>
      <c r="AL395" s="288"/>
      <c r="AM395" s="287"/>
      <c r="AN395" s="287"/>
      <c r="AO395" s="287"/>
      <c r="AP395" s="286"/>
      <c r="AQ395" s="296"/>
      <c r="AR395" s="286"/>
      <c r="AS395" s="286"/>
      <c r="AT395" s="286"/>
      <c r="AU395" s="286"/>
      <c r="AV395" s="286"/>
      <c r="AW395" s="286"/>
      <c r="AX395" s="286"/>
      <c r="AY395" s="286"/>
      <c r="AZ395" s="286"/>
      <c r="BA395" s="286"/>
      <c r="BB395" s="286"/>
      <c r="BC395" s="286"/>
      <c r="BD395" s="287"/>
      <c r="BE395" s="287"/>
      <c r="BF395" s="287"/>
      <c r="BG395" s="287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287"/>
      <c r="BT395" s="287"/>
      <c r="BU395" s="287"/>
      <c r="BV395" s="287"/>
      <c r="BW395" s="287"/>
      <c r="BX395" s="286"/>
      <c r="BY395" s="289"/>
      <c r="BZ395" s="289"/>
      <c r="CA395" s="289"/>
      <c r="CB395" s="289"/>
      <c r="CC395" s="289"/>
      <c r="CD395" s="289"/>
      <c r="CE395" s="289"/>
      <c r="CF395" s="289"/>
      <c r="CG395" s="287"/>
      <c r="CH395" s="287"/>
      <c r="CI395" s="287"/>
      <c r="CJ395" s="287"/>
      <c r="CK395" s="287"/>
      <c r="CL395" s="287">
        <v>1.8</v>
      </c>
      <c r="CM395" s="287"/>
      <c r="CN395" s="287"/>
      <c r="CO395" s="287"/>
      <c r="CP395" s="287"/>
      <c r="CQ395" s="287"/>
      <c r="CR395" s="287"/>
      <c r="CS395" s="287"/>
      <c r="CT395" s="6"/>
      <c r="CU395" s="6"/>
      <c r="CV395" s="6"/>
      <c r="CW395" s="6"/>
      <c r="CX395" s="6"/>
      <c r="CY395" s="6"/>
      <c r="CZ395" s="6"/>
      <c r="DA395" s="343">
        <f>H395</f>
        <v>1.0833333333333333</v>
      </c>
    </row>
    <row r="396" spans="1:105" ht="20" customHeight="1" x14ac:dyDescent="0.35">
      <c r="A396" s="290"/>
      <c r="B396" s="270" t="s">
        <v>995</v>
      </c>
      <c r="C396" s="270" t="s">
        <v>276</v>
      </c>
      <c r="D396" s="297" t="s">
        <v>535</v>
      </c>
      <c r="E396" s="270" t="s">
        <v>34</v>
      </c>
      <c r="F396" s="270" t="s">
        <v>1866</v>
      </c>
      <c r="G396" s="270" t="s">
        <v>226</v>
      </c>
      <c r="H396" s="298">
        <v>27</v>
      </c>
      <c r="I396" s="292">
        <v>32</v>
      </c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7"/>
      <c r="AL396" s="288"/>
      <c r="AM396" s="287"/>
      <c r="AN396" s="287"/>
      <c r="AO396" s="287"/>
      <c r="AP396" s="286"/>
      <c r="AQ396" s="296"/>
      <c r="AR396" s="286"/>
      <c r="AS396" s="286"/>
      <c r="AT396" s="286"/>
      <c r="AU396" s="286"/>
      <c r="AV396" s="286"/>
      <c r="AW396" s="286"/>
      <c r="AX396" s="286"/>
      <c r="AY396" s="286"/>
      <c r="AZ396" s="286"/>
      <c r="BA396" s="286"/>
      <c r="BB396" s="286"/>
      <c r="BC396" s="286"/>
      <c r="BD396" s="287"/>
      <c r="BE396" s="287"/>
      <c r="BF396" s="287"/>
      <c r="BG396" s="287"/>
      <c r="BH396" s="287"/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287"/>
      <c r="BT396" s="287"/>
      <c r="BU396" s="287"/>
      <c r="BV396" s="287"/>
      <c r="BW396" s="287"/>
      <c r="BX396" s="286"/>
      <c r="BY396" s="289"/>
      <c r="BZ396" s="289"/>
      <c r="CA396" s="289"/>
      <c r="CB396" s="289"/>
      <c r="CC396" s="289"/>
      <c r="CD396" s="289"/>
      <c r="CE396" s="289"/>
      <c r="CF396" s="289"/>
      <c r="CG396" s="287"/>
      <c r="CH396" s="287"/>
      <c r="CI396" s="287"/>
      <c r="CJ396" s="287"/>
      <c r="CK396" s="287"/>
      <c r="CL396" s="287"/>
      <c r="CM396" s="287"/>
      <c r="CN396" s="287"/>
      <c r="CO396" s="287"/>
      <c r="CP396" s="287"/>
      <c r="CQ396" s="287">
        <v>32</v>
      </c>
      <c r="CR396" s="287"/>
      <c r="CS396" s="287"/>
      <c r="CT396" s="6"/>
      <c r="CU396" s="6"/>
      <c r="CV396" s="6"/>
      <c r="CW396" s="6"/>
      <c r="CX396" s="6"/>
      <c r="CY396" s="6"/>
      <c r="CZ396" s="6"/>
      <c r="DA396" s="343">
        <f t="shared" si="13"/>
        <v>27</v>
      </c>
    </row>
    <row r="397" spans="1:105" ht="20" customHeight="1" x14ac:dyDescent="0.35">
      <c r="A397" s="290"/>
      <c r="B397" s="270" t="s">
        <v>996</v>
      </c>
      <c r="C397" s="270" t="s">
        <v>277</v>
      </c>
      <c r="D397" s="297" t="s">
        <v>535</v>
      </c>
      <c r="E397" s="270" t="s">
        <v>34</v>
      </c>
      <c r="F397" s="270" t="s">
        <v>1866</v>
      </c>
      <c r="G397" s="270" t="s">
        <v>226</v>
      </c>
      <c r="H397" s="310">
        <v>27</v>
      </c>
      <c r="I397" s="292">
        <v>32</v>
      </c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>
        <v>32</v>
      </c>
      <c r="AC397" s="286"/>
      <c r="AD397" s="286"/>
      <c r="AE397" s="286"/>
      <c r="AF397" s="286"/>
      <c r="AG397" s="286"/>
      <c r="AH397" s="286"/>
      <c r="AI397" s="286"/>
      <c r="AJ397" s="286"/>
      <c r="AK397" s="287"/>
      <c r="AL397" s="288"/>
      <c r="AM397" s="287"/>
      <c r="AN397" s="287"/>
      <c r="AO397" s="287"/>
      <c r="AP397" s="286"/>
      <c r="AQ397" s="296"/>
      <c r="AR397" s="286"/>
      <c r="AS397" s="286"/>
      <c r="AT397" s="286"/>
      <c r="AU397" s="286"/>
      <c r="AV397" s="286"/>
      <c r="AW397" s="286"/>
      <c r="AX397" s="286"/>
      <c r="AY397" s="286"/>
      <c r="AZ397" s="286"/>
      <c r="BA397" s="286"/>
      <c r="BB397" s="286"/>
      <c r="BC397" s="286"/>
      <c r="BD397" s="287"/>
      <c r="BE397" s="287"/>
      <c r="BF397" s="287"/>
      <c r="BG397" s="287"/>
      <c r="BH397" s="287"/>
      <c r="BI397" s="287">
        <v>21</v>
      </c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287"/>
      <c r="BT397" s="287"/>
      <c r="BU397" s="287"/>
      <c r="BV397" s="287"/>
      <c r="BW397" s="287"/>
      <c r="BX397" s="286"/>
      <c r="BY397" s="289"/>
      <c r="BZ397" s="289">
        <v>22</v>
      </c>
      <c r="CA397" s="289"/>
      <c r="CB397" s="289"/>
      <c r="CC397" s="289"/>
      <c r="CD397" s="289"/>
      <c r="CE397" s="289"/>
      <c r="CF397" s="289"/>
      <c r="CG397" s="287"/>
      <c r="CH397" s="287"/>
      <c r="CI397" s="287"/>
      <c r="CJ397" s="287"/>
      <c r="CK397" s="287"/>
      <c r="CL397" s="287">
        <v>32</v>
      </c>
      <c r="CM397" s="287"/>
      <c r="CN397" s="287"/>
      <c r="CO397" s="287"/>
      <c r="CP397" s="287"/>
      <c r="CQ397" s="287">
        <v>32</v>
      </c>
      <c r="CR397" s="287"/>
      <c r="CS397" s="287"/>
      <c r="CT397" s="6"/>
      <c r="CU397" s="6"/>
      <c r="CV397" s="6"/>
      <c r="CW397" s="6"/>
      <c r="CX397" s="6"/>
      <c r="CY397" s="6"/>
      <c r="CZ397" s="6"/>
      <c r="DA397" s="343">
        <f t="shared" si="13"/>
        <v>27</v>
      </c>
    </row>
    <row r="398" spans="1:105" ht="20" customHeight="1" x14ac:dyDescent="0.35">
      <c r="A398" s="290"/>
      <c r="B398" s="270" t="s">
        <v>997</v>
      </c>
      <c r="C398" s="270" t="s">
        <v>278</v>
      </c>
      <c r="D398" s="297" t="s">
        <v>535</v>
      </c>
      <c r="E398" s="270" t="s">
        <v>34</v>
      </c>
      <c r="F398" s="270" t="s">
        <v>1866</v>
      </c>
      <c r="G398" s="270" t="s">
        <v>226</v>
      </c>
      <c r="H398" s="298">
        <v>27</v>
      </c>
      <c r="I398" s="292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7"/>
      <c r="AL398" s="288"/>
      <c r="AM398" s="287"/>
      <c r="AN398" s="287"/>
      <c r="AO398" s="287"/>
      <c r="AP398" s="286"/>
      <c r="AQ398" s="296"/>
      <c r="AR398" s="286"/>
      <c r="AS398" s="286"/>
      <c r="AT398" s="286"/>
      <c r="AU398" s="286"/>
      <c r="AV398" s="286"/>
      <c r="AW398" s="286"/>
      <c r="AX398" s="286"/>
      <c r="AY398" s="286"/>
      <c r="AZ398" s="286"/>
      <c r="BA398" s="286"/>
      <c r="BB398" s="286"/>
      <c r="BC398" s="286"/>
      <c r="BD398" s="287"/>
      <c r="BE398" s="287"/>
      <c r="BF398" s="287"/>
      <c r="BG398" s="287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287"/>
      <c r="BT398" s="287"/>
      <c r="BU398" s="287"/>
      <c r="BV398" s="287"/>
      <c r="BW398" s="287"/>
      <c r="BX398" s="286"/>
      <c r="BY398" s="289"/>
      <c r="BZ398" s="289"/>
      <c r="CA398" s="289"/>
      <c r="CB398" s="289"/>
      <c r="CC398" s="289"/>
      <c r="CD398" s="289"/>
      <c r="CE398" s="289"/>
      <c r="CF398" s="289"/>
      <c r="CG398" s="287"/>
      <c r="CH398" s="287"/>
      <c r="CI398" s="287"/>
      <c r="CJ398" s="287"/>
      <c r="CK398" s="287"/>
      <c r="CL398" s="287">
        <v>32</v>
      </c>
      <c r="CM398" s="287"/>
      <c r="CN398" s="287"/>
      <c r="CO398" s="287"/>
      <c r="CP398" s="287"/>
      <c r="CQ398" s="287">
        <v>32</v>
      </c>
      <c r="CR398" s="287"/>
      <c r="CS398" s="287"/>
      <c r="CT398" s="6"/>
      <c r="CU398" s="6"/>
      <c r="CV398" s="6"/>
      <c r="CW398" s="6"/>
      <c r="CX398" s="6"/>
      <c r="CY398" s="6"/>
      <c r="CZ398" s="6"/>
      <c r="DA398" s="343">
        <f t="shared" si="13"/>
        <v>27</v>
      </c>
    </row>
    <row r="399" spans="1:105" ht="20" customHeight="1" x14ac:dyDescent="0.35">
      <c r="A399" s="290"/>
      <c r="B399" s="270" t="s">
        <v>998</v>
      </c>
      <c r="C399" s="270" t="s">
        <v>279</v>
      </c>
      <c r="D399" s="297" t="s">
        <v>535</v>
      </c>
      <c r="E399" s="270" t="s">
        <v>34</v>
      </c>
      <c r="F399" s="270" t="s">
        <v>1866</v>
      </c>
      <c r="G399" s="270" t="s">
        <v>226</v>
      </c>
      <c r="H399" s="298">
        <v>13.5</v>
      </c>
      <c r="I399" s="292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>
        <v>21</v>
      </c>
      <c r="AF399" s="286"/>
      <c r="AG399" s="286"/>
      <c r="AH399" s="286"/>
      <c r="AI399" s="286"/>
      <c r="AJ399" s="286"/>
      <c r="AK399" s="287"/>
      <c r="AL399" s="288"/>
      <c r="AM399" s="287"/>
      <c r="AN399" s="287"/>
      <c r="AO399" s="287"/>
      <c r="AP399" s="286"/>
      <c r="AQ399" s="296"/>
      <c r="AR399" s="286"/>
      <c r="AS399" s="286"/>
      <c r="AT399" s="286"/>
      <c r="AU399" s="286"/>
      <c r="AV399" s="286"/>
      <c r="AW399" s="286"/>
      <c r="AX399" s="286"/>
      <c r="AY399" s="286"/>
      <c r="AZ399" s="286"/>
      <c r="BA399" s="286"/>
      <c r="BB399" s="286"/>
      <c r="BC399" s="286"/>
      <c r="BD399" s="287"/>
      <c r="BE399" s="287"/>
      <c r="BF399" s="287"/>
      <c r="BG399" s="287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287"/>
      <c r="BT399" s="287"/>
      <c r="BU399" s="287"/>
      <c r="BV399" s="287"/>
      <c r="BW399" s="287"/>
      <c r="BX399" s="286"/>
      <c r="BY399" s="289"/>
      <c r="BZ399" s="289">
        <v>18</v>
      </c>
      <c r="CA399" s="289"/>
      <c r="CB399" s="289"/>
      <c r="CC399" s="289"/>
      <c r="CD399" s="289"/>
      <c r="CE399" s="289"/>
      <c r="CF399" s="289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287"/>
      <c r="CT399" s="6"/>
      <c r="CU399" s="6"/>
      <c r="CV399" s="6"/>
      <c r="CW399" s="6"/>
      <c r="CX399" s="6"/>
      <c r="CY399" s="6"/>
      <c r="CZ399" s="6"/>
      <c r="DA399" s="343">
        <f t="shared" si="13"/>
        <v>13.5</v>
      </c>
    </row>
    <row r="400" spans="1:105" ht="20" customHeight="1" x14ac:dyDescent="0.35">
      <c r="A400" s="301"/>
      <c r="B400" s="270" t="s">
        <v>999</v>
      </c>
      <c r="C400" s="270" t="s">
        <v>1756</v>
      </c>
      <c r="D400" s="270" t="s">
        <v>646</v>
      </c>
      <c r="E400" s="270"/>
      <c r="F400" s="270" t="s">
        <v>637</v>
      </c>
      <c r="G400" s="270" t="s">
        <v>91</v>
      </c>
      <c r="H400" s="298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7"/>
      <c r="AL400" s="288"/>
      <c r="AM400" s="287"/>
      <c r="AN400" s="287"/>
      <c r="AO400" s="287"/>
      <c r="AP400" s="286"/>
      <c r="AQ400" s="296"/>
      <c r="AR400" s="286"/>
      <c r="AS400" s="286"/>
      <c r="AT400" s="286"/>
      <c r="AU400" s="286"/>
      <c r="AV400" s="286"/>
      <c r="AW400" s="286"/>
      <c r="AX400" s="286"/>
      <c r="AY400" s="286"/>
      <c r="AZ400" s="286"/>
      <c r="BA400" s="286"/>
      <c r="BB400" s="286"/>
      <c r="BC400" s="286"/>
      <c r="BD400" s="287"/>
      <c r="BE400" s="287"/>
      <c r="BF400" s="287"/>
      <c r="BG400" s="287"/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287"/>
      <c r="BT400" s="287"/>
      <c r="BU400" s="287"/>
      <c r="BV400" s="287"/>
      <c r="BW400" s="287"/>
      <c r="BX400" s="286"/>
      <c r="BY400" s="289"/>
      <c r="BZ400" s="289"/>
      <c r="CA400" s="289"/>
      <c r="CB400" s="289"/>
      <c r="CC400" s="289"/>
      <c r="CD400" s="289"/>
      <c r="CE400" s="289"/>
      <c r="CF400" s="289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6"/>
      <c r="CT400" s="6"/>
      <c r="CU400" s="6"/>
      <c r="CV400" s="6"/>
      <c r="CW400" s="6"/>
      <c r="CX400" s="6"/>
      <c r="CY400" s="6"/>
      <c r="CZ400" s="6"/>
      <c r="DA400" s="343">
        <f t="shared" si="13"/>
        <v>0</v>
      </c>
    </row>
    <row r="401" spans="1:105" ht="20" customHeight="1" x14ac:dyDescent="0.35">
      <c r="A401" s="301"/>
      <c r="B401" s="270" t="s">
        <v>1000</v>
      </c>
      <c r="C401" s="270" t="s">
        <v>1757</v>
      </c>
      <c r="D401" s="270" t="s">
        <v>646</v>
      </c>
      <c r="E401" s="270"/>
      <c r="F401" s="270" t="s">
        <v>637</v>
      </c>
      <c r="G401" s="270" t="s">
        <v>91</v>
      </c>
      <c r="H401" s="298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7"/>
      <c r="AL401" s="288"/>
      <c r="AM401" s="287"/>
      <c r="AN401" s="287"/>
      <c r="AO401" s="287"/>
      <c r="AP401" s="286"/>
      <c r="AQ401" s="296"/>
      <c r="AR401" s="286"/>
      <c r="AS401" s="286"/>
      <c r="AT401" s="286"/>
      <c r="AU401" s="286"/>
      <c r="AV401" s="286"/>
      <c r="AW401" s="286"/>
      <c r="AX401" s="286"/>
      <c r="AY401" s="286"/>
      <c r="AZ401" s="286"/>
      <c r="BA401" s="286"/>
      <c r="BB401" s="286"/>
      <c r="BC401" s="286"/>
      <c r="BD401" s="287"/>
      <c r="BE401" s="287"/>
      <c r="BF401" s="287"/>
      <c r="BG401" s="287"/>
      <c r="BH401" s="287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287"/>
      <c r="BT401" s="287"/>
      <c r="BU401" s="287"/>
      <c r="BV401" s="287"/>
      <c r="BW401" s="287"/>
      <c r="BX401" s="286"/>
      <c r="BY401" s="289"/>
      <c r="BZ401" s="289"/>
      <c r="CA401" s="289"/>
      <c r="CB401" s="289"/>
      <c r="CC401" s="289"/>
      <c r="CD401" s="289"/>
      <c r="CE401" s="289"/>
      <c r="CF401" s="289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6"/>
      <c r="CT401" s="6"/>
      <c r="CU401" s="6"/>
      <c r="CV401" s="6"/>
      <c r="CW401" s="6"/>
      <c r="CX401" s="6"/>
      <c r="CY401" s="6"/>
      <c r="CZ401" s="6"/>
      <c r="DA401" s="343">
        <f t="shared" si="13"/>
        <v>0</v>
      </c>
    </row>
    <row r="402" spans="1:105" ht="20" customHeight="1" x14ac:dyDescent="0.35">
      <c r="A402" s="301"/>
      <c r="B402" s="270" t="s">
        <v>1001</v>
      </c>
      <c r="C402" s="270" t="s">
        <v>1931</v>
      </c>
      <c r="D402" s="297" t="s">
        <v>646</v>
      </c>
      <c r="E402" s="270" t="s">
        <v>34</v>
      </c>
      <c r="F402" s="270" t="s">
        <v>1932</v>
      </c>
      <c r="G402" s="270" t="s">
        <v>42</v>
      </c>
      <c r="H402" s="298">
        <v>16.2</v>
      </c>
      <c r="I402" s="286"/>
      <c r="J402" s="286"/>
      <c r="K402" s="286"/>
      <c r="L402" s="286"/>
      <c r="M402" s="286"/>
      <c r="N402" s="286"/>
      <c r="O402" s="286"/>
      <c r="P402" s="286"/>
      <c r="Q402" s="286"/>
      <c r="R402" s="286">
        <v>20</v>
      </c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7"/>
      <c r="AL402" s="288"/>
      <c r="AM402" s="287"/>
      <c r="AN402" s="287"/>
      <c r="AO402" s="287"/>
      <c r="AP402" s="286"/>
      <c r="AQ402" s="296"/>
      <c r="AR402" s="286"/>
      <c r="AS402" s="286"/>
      <c r="AT402" s="286"/>
      <c r="AU402" s="286"/>
      <c r="AV402" s="286"/>
      <c r="AW402" s="286"/>
      <c r="AX402" s="286"/>
      <c r="AY402" s="286"/>
      <c r="AZ402" s="286"/>
      <c r="BA402" s="286"/>
      <c r="BB402" s="286"/>
      <c r="BC402" s="286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287"/>
      <c r="BT402" s="287"/>
      <c r="BU402" s="287"/>
      <c r="BV402" s="287"/>
      <c r="BW402" s="287"/>
      <c r="BX402" s="286"/>
      <c r="BY402" s="289"/>
      <c r="BZ402" s="289"/>
      <c r="CA402" s="289"/>
      <c r="CB402" s="289"/>
      <c r="CC402" s="289"/>
      <c r="CD402" s="289"/>
      <c r="CE402" s="289"/>
      <c r="CF402" s="289"/>
      <c r="CG402" s="287"/>
      <c r="CH402" s="287"/>
      <c r="CI402" s="287"/>
      <c r="CJ402" s="287"/>
      <c r="CK402" s="287"/>
      <c r="CL402" s="287"/>
      <c r="CM402" s="287"/>
      <c r="CN402" s="287"/>
      <c r="CO402" s="287"/>
      <c r="CP402" s="287"/>
      <c r="CQ402" s="287"/>
      <c r="CR402" s="287"/>
      <c r="CS402" s="6"/>
      <c r="CT402" s="6"/>
      <c r="CU402" s="6"/>
      <c r="CV402" s="6"/>
      <c r="CW402" s="6"/>
      <c r="CX402" s="6"/>
      <c r="CY402" s="6"/>
      <c r="CZ402" s="6"/>
      <c r="DA402" s="343">
        <f t="shared" si="13"/>
        <v>16.2</v>
      </c>
    </row>
    <row r="403" spans="1:105" ht="20" customHeight="1" x14ac:dyDescent="0.35">
      <c r="A403" s="301"/>
      <c r="B403" s="270" t="s">
        <v>1002</v>
      </c>
      <c r="C403" s="270" t="s">
        <v>1572</v>
      </c>
      <c r="D403" s="270"/>
      <c r="E403" s="270" t="s">
        <v>34</v>
      </c>
      <c r="F403" s="270" t="s">
        <v>1867</v>
      </c>
      <c r="G403" s="270" t="s">
        <v>36</v>
      </c>
      <c r="H403" s="298">
        <v>5.5</v>
      </c>
      <c r="I403" s="286"/>
      <c r="J403" s="286"/>
      <c r="K403" s="286"/>
      <c r="L403" s="286"/>
      <c r="M403" s="286"/>
      <c r="N403" s="286"/>
      <c r="O403" s="286"/>
      <c r="P403" s="286"/>
      <c r="Q403" s="286"/>
      <c r="R403" s="286">
        <v>7</v>
      </c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7"/>
      <c r="AL403" s="288"/>
      <c r="AM403" s="287"/>
      <c r="AN403" s="287"/>
      <c r="AO403" s="287"/>
      <c r="AP403" s="286"/>
      <c r="AQ403" s="296"/>
      <c r="AR403" s="286"/>
      <c r="AS403" s="286"/>
      <c r="AT403" s="286"/>
      <c r="AU403" s="286"/>
      <c r="AV403" s="286"/>
      <c r="AW403" s="286"/>
      <c r="AX403" s="286"/>
      <c r="AY403" s="286"/>
      <c r="AZ403" s="286"/>
      <c r="BA403" s="286"/>
      <c r="BB403" s="286"/>
      <c r="BC403" s="286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287"/>
      <c r="BT403" s="287"/>
      <c r="BU403" s="287"/>
      <c r="BV403" s="287"/>
      <c r="BW403" s="287"/>
      <c r="BX403" s="286"/>
      <c r="BY403" s="289"/>
      <c r="BZ403" s="289"/>
      <c r="CA403" s="289"/>
      <c r="CB403" s="289"/>
      <c r="CC403" s="289"/>
      <c r="CD403" s="289"/>
      <c r="CE403" s="289"/>
      <c r="CF403" s="289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/>
      <c r="CR403" s="287"/>
      <c r="CS403" s="6"/>
      <c r="CT403" s="6"/>
      <c r="CU403" s="6"/>
      <c r="CV403" s="6"/>
      <c r="CW403" s="6"/>
      <c r="CX403" s="6"/>
      <c r="CY403" s="6"/>
      <c r="CZ403" s="6"/>
      <c r="DA403" s="343">
        <f t="shared" si="13"/>
        <v>5.5</v>
      </c>
    </row>
    <row r="404" spans="1:105" ht="20" customHeight="1" x14ac:dyDescent="0.35">
      <c r="A404" s="301"/>
      <c r="B404" s="270" t="s">
        <v>1003</v>
      </c>
      <c r="C404" s="270" t="s">
        <v>1393</v>
      </c>
      <c r="D404" s="270"/>
      <c r="E404" s="270" t="s">
        <v>34</v>
      </c>
      <c r="F404" s="270" t="s">
        <v>636</v>
      </c>
      <c r="G404" s="270"/>
      <c r="H404" s="298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7"/>
      <c r="AL404" s="288"/>
      <c r="AM404" s="287"/>
      <c r="AN404" s="287"/>
      <c r="AO404" s="287"/>
      <c r="AP404" s="286"/>
      <c r="AQ404" s="296"/>
      <c r="AR404" s="286"/>
      <c r="AS404" s="286"/>
      <c r="AT404" s="286"/>
      <c r="AU404" s="286"/>
      <c r="AV404" s="286"/>
      <c r="AW404" s="286"/>
      <c r="AX404" s="286"/>
      <c r="AY404" s="286"/>
      <c r="AZ404" s="286"/>
      <c r="BA404" s="286"/>
      <c r="BB404" s="286"/>
      <c r="BC404" s="286"/>
      <c r="BD404" s="287"/>
      <c r="BE404" s="287"/>
      <c r="BF404" s="287"/>
      <c r="BG404" s="287"/>
      <c r="BH404" s="287"/>
      <c r="BI404" s="287"/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287"/>
      <c r="BT404" s="287"/>
      <c r="BU404" s="287"/>
      <c r="BV404" s="287"/>
      <c r="BW404" s="287"/>
      <c r="BX404" s="286"/>
      <c r="BY404" s="289"/>
      <c r="BZ404" s="289"/>
      <c r="CA404" s="289"/>
      <c r="CB404" s="289"/>
      <c r="CC404" s="289"/>
      <c r="CD404" s="289"/>
      <c r="CE404" s="289"/>
      <c r="CF404" s="289"/>
      <c r="CG404" s="287"/>
      <c r="CH404" s="287"/>
      <c r="CI404" s="287"/>
      <c r="CJ404" s="287"/>
      <c r="CK404" s="287"/>
      <c r="CL404" s="287"/>
      <c r="CM404" s="287"/>
      <c r="CN404" s="287"/>
      <c r="CO404" s="287"/>
      <c r="CP404" s="287"/>
      <c r="CQ404" s="287"/>
      <c r="CR404" s="287"/>
      <c r="CS404" s="6"/>
      <c r="CT404" s="6"/>
      <c r="CU404" s="6"/>
      <c r="CV404" s="6"/>
      <c r="CW404" s="6"/>
      <c r="CX404" s="6"/>
      <c r="CY404" s="6"/>
      <c r="CZ404" s="6"/>
      <c r="DA404" s="343">
        <f t="shared" si="13"/>
        <v>0</v>
      </c>
    </row>
    <row r="405" spans="1:105" ht="20" customHeight="1" x14ac:dyDescent="0.35">
      <c r="A405" s="301"/>
      <c r="B405" s="270" t="s">
        <v>1004</v>
      </c>
      <c r="C405" s="270" t="s">
        <v>1302</v>
      </c>
      <c r="D405" s="270" t="s">
        <v>627</v>
      </c>
      <c r="E405" s="270" t="s">
        <v>34</v>
      </c>
      <c r="F405" s="270" t="s">
        <v>1866</v>
      </c>
      <c r="G405" s="270"/>
      <c r="H405" s="298">
        <v>27</v>
      </c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>
        <v>32</v>
      </c>
      <c r="AC405" s="286"/>
      <c r="AD405" s="286"/>
      <c r="AE405" s="286"/>
      <c r="AF405" s="286"/>
      <c r="AG405" s="286"/>
      <c r="AH405" s="286"/>
      <c r="AI405" s="286"/>
      <c r="AJ405" s="286"/>
      <c r="AK405" s="287"/>
      <c r="AL405" s="288"/>
      <c r="AM405" s="287"/>
      <c r="AN405" s="287"/>
      <c r="AO405" s="287"/>
      <c r="AP405" s="286"/>
      <c r="AQ405" s="296"/>
      <c r="AR405" s="286"/>
      <c r="AS405" s="286"/>
      <c r="AT405" s="286"/>
      <c r="AU405" s="286"/>
      <c r="AV405" s="286"/>
      <c r="AW405" s="286"/>
      <c r="AX405" s="286"/>
      <c r="AY405" s="286"/>
      <c r="AZ405" s="286"/>
      <c r="BA405" s="286"/>
      <c r="BB405" s="286"/>
      <c r="BC405" s="286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287"/>
      <c r="BT405" s="287"/>
      <c r="BU405" s="287"/>
      <c r="BV405" s="287"/>
      <c r="BW405" s="287"/>
      <c r="BX405" s="286"/>
      <c r="BY405" s="289"/>
      <c r="BZ405" s="289"/>
      <c r="CA405" s="289"/>
      <c r="CB405" s="289"/>
      <c r="CC405" s="289"/>
      <c r="CD405" s="289"/>
      <c r="CE405" s="289"/>
      <c r="CF405" s="289"/>
      <c r="CG405" s="287"/>
      <c r="CH405" s="287"/>
      <c r="CI405" s="287"/>
      <c r="CJ405" s="287"/>
      <c r="CK405" s="287"/>
      <c r="CL405" s="287">
        <v>32</v>
      </c>
      <c r="CM405" s="287"/>
      <c r="CN405" s="287"/>
      <c r="CO405" s="287"/>
      <c r="CP405" s="287"/>
      <c r="CQ405" s="287"/>
      <c r="CR405" s="287"/>
      <c r="CS405" s="6"/>
      <c r="CT405" s="6"/>
      <c r="CU405" s="6"/>
      <c r="CV405" s="6"/>
      <c r="CW405" s="6"/>
      <c r="CX405" s="6"/>
      <c r="CY405" s="6"/>
      <c r="CZ405" s="6"/>
      <c r="DA405" s="343">
        <f t="shared" si="13"/>
        <v>27</v>
      </c>
    </row>
    <row r="406" spans="1:105" ht="20" customHeight="1" x14ac:dyDescent="0.35">
      <c r="A406" s="301" t="s">
        <v>1306</v>
      </c>
      <c r="B406" s="270" t="s">
        <v>1005</v>
      </c>
      <c r="C406" s="270" t="s">
        <v>1392</v>
      </c>
      <c r="D406" s="270" t="s">
        <v>646</v>
      </c>
      <c r="E406" s="270" t="s">
        <v>34</v>
      </c>
      <c r="F406" s="270" t="s">
        <v>636</v>
      </c>
      <c r="G406" s="270"/>
      <c r="H406" s="298">
        <v>17.3</v>
      </c>
      <c r="I406" s="286">
        <v>23</v>
      </c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7"/>
      <c r="AL406" s="288"/>
      <c r="AM406" s="287"/>
      <c r="AN406" s="287"/>
      <c r="AO406" s="287"/>
      <c r="AP406" s="286"/>
      <c r="AQ406" s="296"/>
      <c r="AR406" s="286"/>
      <c r="AS406" s="286"/>
      <c r="AT406" s="286"/>
      <c r="AU406" s="286"/>
      <c r="AV406" s="286"/>
      <c r="AW406" s="286"/>
      <c r="AX406" s="286"/>
      <c r="AY406" s="286"/>
      <c r="AZ406" s="286"/>
      <c r="BA406" s="286"/>
      <c r="BB406" s="286"/>
      <c r="BC406" s="286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287"/>
      <c r="BT406" s="287"/>
      <c r="BU406" s="287"/>
      <c r="BV406" s="287"/>
      <c r="BW406" s="287"/>
      <c r="BX406" s="286"/>
      <c r="BY406" s="289"/>
      <c r="BZ406" s="289"/>
      <c r="CA406" s="289"/>
      <c r="CB406" s="289"/>
      <c r="CC406" s="289"/>
      <c r="CD406" s="289"/>
      <c r="CE406" s="289"/>
      <c r="CF406" s="289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8">
        <v>23</v>
      </c>
      <c r="CT406" s="6"/>
      <c r="CU406" s="6"/>
      <c r="CV406" s="6"/>
      <c r="CW406" s="6"/>
      <c r="CX406" s="6"/>
      <c r="CY406" s="6"/>
      <c r="CZ406" s="6"/>
      <c r="DA406" s="343">
        <f t="shared" si="13"/>
        <v>17.3</v>
      </c>
    </row>
    <row r="407" spans="1:105" ht="20" customHeight="1" x14ac:dyDescent="0.35">
      <c r="A407" s="301"/>
      <c r="B407" s="270" t="s">
        <v>1006</v>
      </c>
      <c r="C407" s="270" t="s">
        <v>1007</v>
      </c>
      <c r="D407" s="270" t="s">
        <v>646</v>
      </c>
      <c r="E407" s="270" t="s">
        <v>34</v>
      </c>
      <c r="F407" s="270" t="s">
        <v>637</v>
      </c>
      <c r="G407" s="270"/>
      <c r="H407" s="298">
        <v>11.5</v>
      </c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>
        <v>14.8</v>
      </c>
      <c r="AE407" s="286"/>
      <c r="AF407" s="286"/>
      <c r="AG407" s="286"/>
      <c r="AH407" s="286"/>
      <c r="AI407" s="286"/>
      <c r="AJ407" s="286"/>
      <c r="AK407" s="287"/>
      <c r="AL407" s="288"/>
      <c r="AM407" s="287"/>
      <c r="AN407" s="287"/>
      <c r="AO407" s="287"/>
      <c r="AP407" s="286"/>
      <c r="AQ407" s="296"/>
      <c r="AR407" s="286"/>
      <c r="AS407" s="286"/>
      <c r="AT407" s="286"/>
      <c r="AU407" s="286"/>
      <c r="AV407" s="286"/>
      <c r="AW407" s="286"/>
      <c r="AX407" s="286"/>
      <c r="AY407" s="286"/>
      <c r="AZ407" s="286"/>
      <c r="BA407" s="286"/>
      <c r="BB407" s="286"/>
      <c r="BC407" s="286"/>
      <c r="BD407" s="287"/>
      <c r="BE407" s="287"/>
      <c r="BF407" s="287"/>
      <c r="BG407" s="288">
        <v>18</v>
      </c>
      <c r="BH407" s="287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287"/>
      <c r="BT407" s="287"/>
      <c r="BU407" s="287">
        <v>18</v>
      </c>
      <c r="BV407" s="287"/>
      <c r="BW407" s="287"/>
      <c r="BX407" s="286"/>
      <c r="BY407" s="289">
        <v>18</v>
      </c>
      <c r="BZ407" s="289">
        <v>0</v>
      </c>
      <c r="CA407" s="289"/>
      <c r="CB407" s="289"/>
      <c r="CC407" s="289"/>
      <c r="CD407" s="289"/>
      <c r="CE407" s="289"/>
      <c r="CF407" s="289"/>
      <c r="CG407" s="287"/>
      <c r="CH407" s="287"/>
      <c r="CI407" s="287"/>
      <c r="CJ407" s="287"/>
      <c r="CK407" s="287"/>
      <c r="CL407" s="287">
        <v>19</v>
      </c>
      <c r="CM407" s="287"/>
      <c r="CN407" s="287"/>
      <c r="CO407" s="287"/>
      <c r="CP407" s="287"/>
      <c r="CQ407" s="287"/>
      <c r="CR407" s="287"/>
      <c r="CS407" s="6"/>
      <c r="CT407" s="6"/>
      <c r="CU407" s="6"/>
      <c r="CV407" s="6"/>
      <c r="CW407" s="6"/>
      <c r="CX407" s="6"/>
      <c r="CY407" s="6"/>
      <c r="CZ407" s="6"/>
      <c r="DA407" s="343">
        <f t="shared" si="13"/>
        <v>11.5</v>
      </c>
    </row>
    <row r="408" spans="1:105" ht="20" customHeight="1" x14ac:dyDescent="0.35">
      <c r="A408" s="301"/>
      <c r="B408" s="270" t="s">
        <v>1097</v>
      </c>
      <c r="C408" s="270" t="s">
        <v>1096</v>
      </c>
      <c r="D408" s="297" t="s">
        <v>34</v>
      </c>
      <c r="E408" s="270" t="s">
        <v>984</v>
      </c>
      <c r="F408" s="270" t="s">
        <v>1865</v>
      </c>
      <c r="G408" s="270" t="s">
        <v>36</v>
      </c>
      <c r="H408" s="324">
        <v>32</v>
      </c>
      <c r="I408" s="287"/>
      <c r="J408" s="286"/>
      <c r="K408" s="286"/>
      <c r="L408" s="286"/>
      <c r="M408" s="286"/>
      <c r="N408" s="286"/>
      <c r="O408" s="286"/>
      <c r="P408" s="292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7"/>
      <c r="AL408" s="288"/>
      <c r="AM408" s="287"/>
      <c r="AN408" s="287"/>
      <c r="AO408" s="287"/>
      <c r="AP408" s="286"/>
      <c r="AQ408" s="296"/>
      <c r="AR408" s="286"/>
      <c r="AS408" s="286"/>
      <c r="AT408" s="286"/>
      <c r="AU408" s="286"/>
      <c r="AV408" s="286"/>
      <c r="AW408" s="286"/>
      <c r="AX408" s="286"/>
      <c r="AY408" s="286"/>
      <c r="AZ408" s="286"/>
      <c r="BA408" s="286"/>
      <c r="BB408" s="286"/>
      <c r="BC408" s="286"/>
      <c r="BD408" s="287"/>
      <c r="BE408" s="287"/>
      <c r="BF408" s="287"/>
      <c r="BG408" s="288">
        <v>38</v>
      </c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287"/>
      <c r="BT408" s="287"/>
      <c r="BU408" s="287"/>
      <c r="BV408" s="287"/>
      <c r="BW408" s="287"/>
      <c r="BX408" s="286"/>
      <c r="BY408" s="289"/>
      <c r="BZ408" s="289">
        <v>40</v>
      </c>
      <c r="CA408" s="289"/>
      <c r="CB408" s="289"/>
      <c r="CC408" s="289"/>
      <c r="CD408" s="289"/>
      <c r="CE408" s="289"/>
      <c r="CF408" s="289"/>
      <c r="CG408" s="287"/>
      <c r="CH408" s="287"/>
      <c r="CI408" s="287"/>
      <c r="CJ408" s="287"/>
      <c r="CK408" s="287"/>
      <c r="CL408" s="287"/>
      <c r="CM408" s="287"/>
      <c r="CN408" s="287"/>
      <c r="CO408" s="287"/>
      <c r="CP408" s="287"/>
      <c r="CQ408" s="287"/>
      <c r="CR408" s="287"/>
      <c r="CS408" s="6"/>
      <c r="CT408" s="6"/>
      <c r="CU408" s="6"/>
      <c r="CV408" s="6"/>
      <c r="CW408" s="6"/>
      <c r="CX408" s="6"/>
      <c r="CY408" s="6"/>
      <c r="CZ408" s="6"/>
      <c r="DA408" s="343">
        <f t="shared" si="13"/>
        <v>32</v>
      </c>
    </row>
    <row r="409" spans="1:105" ht="20" customHeight="1" x14ac:dyDescent="0.35">
      <c r="A409" s="301"/>
      <c r="B409" s="270" t="s">
        <v>1155</v>
      </c>
      <c r="C409" s="270" t="s">
        <v>1554</v>
      </c>
      <c r="D409" s="270" t="s">
        <v>655</v>
      </c>
      <c r="E409" s="270" t="s">
        <v>1162</v>
      </c>
      <c r="F409" s="270" t="s">
        <v>85</v>
      </c>
      <c r="G409" s="270" t="s">
        <v>42</v>
      </c>
      <c r="H409" s="324">
        <f>48/6</f>
        <v>8</v>
      </c>
      <c r="I409" s="287"/>
      <c r="J409" s="292"/>
      <c r="K409" s="286"/>
      <c r="L409" s="286"/>
      <c r="M409" s="286"/>
      <c r="N409" s="286"/>
      <c r="O409" s="286"/>
      <c r="P409" s="292"/>
      <c r="Q409" s="286">
        <v>26</v>
      </c>
      <c r="R409" s="286"/>
      <c r="S409" s="286"/>
      <c r="T409" s="286">
        <v>9.5</v>
      </c>
      <c r="U409" s="286">
        <v>9.5</v>
      </c>
      <c r="V409" s="286"/>
      <c r="W409" s="286"/>
      <c r="X409" s="286"/>
      <c r="Y409" s="286">
        <v>10</v>
      </c>
      <c r="Z409" s="286"/>
      <c r="AA409" s="286"/>
      <c r="AB409" s="286">
        <v>10</v>
      </c>
      <c r="AC409" s="286"/>
      <c r="AD409" s="286"/>
      <c r="AE409" s="286"/>
      <c r="AF409" s="286"/>
      <c r="AG409" s="286"/>
      <c r="AH409" s="286"/>
      <c r="AI409" s="286">
        <v>9.5</v>
      </c>
      <c r="AJ409" s="286"/>
      <c r="AK409" s="287"/>
      <c r="AL409" s="288">
        <v>9.5</v>
      </c>
      <c r="AM409" s="287"/>
      <c r="AN409" s="287"/>
      <c r="AO409" s="288">
        <v>9.5</v>
      </c>
      <c r="AP409" s="286"/>
      <c r="AQ409" s="296"/>
      <c r="AR409" s="286"/>
      <c r="AS409" s="286">
        <v>9.5</v>
      </c>
      <c r="AT409" s="286">
        <v>9.5</v>
      </c>
      <c r="AU409" s="286">
        <v>9.5</v>
      </c>
      <c r="AV409" s="292"/>
      <c r="AW409" s="292">
        <v>9.5</v>
      </c>
      <c r="AX409" s="292">
        <v>9.5</v>
      </c>
      <c r="AY409" s="292">
        <v>9.5</v>
      </c>
      <c r="AZ409" s="292">
        <v>9.5</v>
      </c>
      <c r="BA409" s="292">
        <v>9.5</v>
      </c>
      <c r="BB409" s="292">
        <v>9.5</v>
      </c>
      <c r="BC409" s="286">
        <v>9.5</v>
      </c>
      <c r="BD409" s="287"/>
      <c r="BE409" s="287">
        <v>9.5</v>
      </c>
      <c r="BF409" s="287"/>
      <c r="BG409" s="288">
        <v>10</v>
      </c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287"/>
      <c r="BT409" s="287"/>
      <c r="BU409" s="287"/>
      <c r="BV409" s="287"/>
      <c r="BW409" s="287"/>
      <c r="BX409" s="286">
        <v>9.5</v>
      </c>
      <c r="BY409" s="289"/>
      <c r="BZ409" s="289"/>
      <c r="CA409" s="289"/>
      <c r="CB409" s="289"/>
      <c r="CC409" s="289"/>
      <c r="CD409" s="289"/>
      <c r="CE409" s="289"/>
      <c r="CF409" s="289"/>
      <c r="CG409" s="287"/>
      <c r="CH409" s="287"/>
      <c r="CI409" s="287"/>
      <c r="CJ409" s="287"/>
      <c r="CK409" s="287"/>
      <c r="CL409" s="287"/>
      <c r="CM409" s="292">
        <v>9.5</v>
      </c>
      <c r="CN409" s="287">
        <v>9.5</v>
      </c>
      <c r="CO409" s="292">
        <v>9.5</v>
      </c>
      <c r="CP409" s="287"/>
      <c r="CQ409" s="287"/>
      <c r="CR409" s="287"/>
      <c r="CS409" s="6"/>
      <c r="CT409" s="6"/>
      <c r="CU409" s="6"/>
      <c r="CV409" s="6"/>
      <c r="CW409" s="6"/>
      <c r="CX409" s="6"/>
      <c r="CY409" s="6"/>
      <c r="CZ409" s="6"/>
      <c r="DA409" s="343">
        <f t="shared" si="13"/>
        <v>8</v>
      </c>
    </row>
    <row r="410" spans="1:105" ht="20" customHeight="1" x14ac:dyDescent="0.35">
      <c r="A410" s="301"/>
      <c r="B410" s="270" t="s">
        <v>1160</v>
      </c>
      <c r="C410" s="270" t="s">
        <v>1469</v>
      </c>
      <c r="D410" s="297" t="s">
        <v>653</v>
      </c>
      <c r="E410" s="270" t="s">
        <v>1162</v>
      </c>
      <c r="F410" s="270" t="s">
        <v>1163</v>
      </c>
      <c r="G410" s="270" t="s">
        <v>31</v>
      </c>
      <c r="H410" s="324">
        <v>70</v>
      </c>
      <c r="I410" s="287"/>
      <c r="J410" s="286"/>
      <c r="K410" s="286"/>
      <c r="L410" s="286"/>
      <c r="M410" s="286"/>
      <c r="N410" s="286"/>
      <c r="O410" s="286"/>
      <c r="P410" s="292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7"/>
      <c r="AL410" s="288"/>
      <c r="AM410" s="287"/>
      <c r="AN410" s="287"/>
      <c r="AO410" s="287"/>
      <c r="AP410" s="286"/>
      <c r="AQ410" s="296"/>
      <c r="AR410" s="286"/>
      <c r="AS410" s="286"/>
      <c r="AT410" s="286"/>
      <c r="AU410" s="286"/>
      <c r="AV410" s="286"/>
      <c r="AW410" s="286"/>
      <c r="AX410" s="286"/>
      <c r="AY410" s="286"/>
      <c r="AZ410" s="286"/>
      <c r="BA410" s="286"/>
      <c r="BB410" s="286"/>
      <c r="BC410" s="286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287"/>
      <c r="BT410" s="287"/>
      <c r="BU410" s="287"/>
      <c r="BV410" s="287"/>
      <c r="BW410" s="287"/>
      <c r="BX410" s="286"/>
      <c r="BY410" s="289"/>
      <c r="BZ410" s="289"/>
      <c r="CA410" s="289"/>
      <c r="CB410" s="289"/>
      <c r="CC410" s="289"/>
      <c r="CD410" s="289"/>
      <c r="CE410" s="289"/>
      <c r="CF410" s="289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6"/>
      <c r="CT410" s="6"/>
      <c r="CU410" s="6"/>
      <c r="CV410" s="6"/>
      <c r="CW410" s="6"/>
      <c r="CX410" s="6"/>
      <c r="CY410" s="6"/>
      <c r="CZ410" s="6"/>
      <c r="DA410" s="343">
        <f t="shared" si="13"/>
        <v>70</v>
      </c>
    </row>
    <row r="411" spans="1:105" ht="20" customHeight="1" x14ac:dyDescent="0.35">
      <c r="A411" s="301"/>
      <c r="B411" s="270" t="s">
        <v>1161</v>
      </c>
      <c r="C411" s="270" t="s">
        <v>1469</v>
      </c>
      <c r="D411" s="297" t="s">
        <v>653</v>
      </c>
      <c r="E411" s="270" t="s">
        <v>1162</v>
      </c>
      <c r="F411" s="270" t="s">
        <v>1164</v>
      </c>
      <c r="G411" s="270" t="s">
        <v>42</v>
      </c>
      <c r="H411" s="324">
        <f>H410/6</f>
        <v>11.666666666666666</v>
      </c>
      <c r="I411" s="287"/>
      <c r="J411" s="286"/>
      <c r="K411" s="286"/>
      <c r="L411" s="286"/>
      <c r="M411" s="286"/>
      <c r="N411" s="286"/>
      <c r="O411" s="286"/>
      <c r="P411" s="292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7"/>
      <c r="AL411" s="288"/>
      <c r="AM411" s="287"/>
      <c r="AN411" s="287"/>
      <c r="AO411" s="287"/>
      <c r="AP411" s="286"/>
      <c r="AQ411" s="296"/>
      <c r="AR411" s="286"/>
      <c r="AS411" s="286"/>
      <c r="AT411" s="286"/>
      <c r="AU411" s="286"/>
      <c r="AV411" s="286"/>
      <c r="AW411" s="286"/>
      <c r="AX411" s="286"/>
      <c r="AY411" s="286"/>
      <c r="AZ411" s="286"/>
      <c r="BA411" s="286"/>
      <c r="BB411" s="286"/>
      <c r="BC411" s="286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287"/>
      <c r="BT411" s="287"/>
      <c r="BU411" s="287"/>
      <c r="BV411" s="287"/>
      <c r="BW411" s="287"/>
      <c r="BX411" s="286"/>
      <c r="BY411" s="289"/>
      <c r="BZ411" s="289"/>
      <c r="CA411" s="289"/>
      <c r="CB411" s="289"/>
      <c r="CC411" s="289"/>
      <c r="CD411" s="289"/>
      <c r="CE411" s="289"/>
      <c r="CF411" s="289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6"/>
      <c r="CT411" s="6"/>
      <c r="CU411" s="6"/>
      <c r="CV411" s="6"/>
      <c r="CW411" s="6"/>
      <c r="CX411" s="6"/>
      <c r="CY411" s="6"/>
      <c r="CZ411" s="6"/>
      <c r="DA411" s="343">
        <f t="shared" si="13"/>
        <v>11.666666666666666</v>
      </c>
    </row>
    <row r="412" spans="1:105" ht="20" customHeight="1" x14ac:dyDescent="0.35">
      <c r="A412" s="301"/>
      <c r="B412" s="270" t="s">
        <v>1179</v>
      </c>
      <c r="C412" s="270" t="s">
        <v>1470</v>
      </c>
      <c r="D412" s="297" t="s">
        <v>1429</v>
      </c>
      <c r="E412" s="270" t="s">
        <v>984</v>
      </c>
      <c r="F412" s="270" t="s">
        <v>2058</v>
      </c>
      <c r="G412" s="270" t="s">
        <v>33</v>
      </c>
      <c r="H412" s="298">
        <v>18</v>
      </c>
      <c r="I412" s="292"/>
      <c r="J412" s="292">
        <v>25</v>
      </c>
      <c r="K412" s="286"/>
      <c r="L412" s="286"/>
      <c r="M412" s="286"/>
      <c r="N412" s="286">
        <v>26</v>
      </c>
      <c r="O412" s="286"/>
      <c r="P412" s="292"/>
      <c r="Q412" s="286">
        <v>26</v>
      </c>
      <c r="R412" s="286"/>
      <c r="S412" s="286"/>
      <c r="T412" s="286">
        <v>25</v>
      </c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>
        <v>25</v>
      </c>
      <c r="AJ412" s="286"/>
      <c r="AK412" s="287"/>
      <c r="AL412" s="288"/>
      <c r="AM412" s="287">
        <v>25</v>
      </c>
      <c r="AN412" s="287"/>
      <c r="AO412" s="286">
        <v>25</v>
      </c>
      <c r="AP412" s="286">
        <v>25</v>
      </c>
      <c r="AQ412" s="296"/>
      <c r="AR412" s="286">
        <v>25</v>
      </c>
      <c r="AS412" s="286">
        <v>25</v>
      </c>
      <c r="AT412" s="286">
        <v>25</v>
      </c>
      <c r="AU412" s="286">
        <v>25</v>
      </c>
      <c r="AV412" s="286">
        <v>25</v>
      </c>
      <c r="AW412" s="286">
        <v>25</v>
      </c>
      <c r="AX412" s="286">
        <v>25</v>
      </c>
      <c r="AY412" s="286">
        <v>25</v>
      </c>
      <c r="AZ412" s="286">
        <v>25</v>
      </c>
      <c r="BA412" s="286">
        <v>25</v>
      </c>
      <c r="BB412" s="286">
        <v>25</v>
      </c>
      <c r="BC412" s="286">
        <v>25</v>
      </c>
      <c r="BD412" s="287"/>
      <c r="BE412" s="287"/>
      <c r="BF412" s="287"/>
      <c r="BG412" s="288">
        <v>23</v>
      </c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287"/>
      <c r="BT412" s="287"/>
      <c r="BU412" s="287"/>
      <c r="BV412" s="287"/>
      <c r="BW412" s="287"/>
      <c r="BX412" s="286">
        <v>25</v>
      </c>
      <c r="BY412" s="289"/>
      <c r="BZ412" s="289"/>
      <c r="CA412" s="289"/>
      <c r="CB412" s="289"/>
      <c r="CC412" s="289"/>
      <c r="CD412" s="289"/>
      <c r="CE412" s="289"/>
      <c r="CF412" s="289"/>
      <c r="CG412" s="287"/>
      <c r="CH412" s="287"/>
      <c r="CI412" s="287"/>
      <c r="CJ412" s="287"/>
      <c r="CK412" s="287"/>
      <c r="CL412" s="287"/>
      <c r="CM412" s="292">
        <v>25</v>
      </c>
      <c r="CN412" s="287"/>
      <c r="CO412" s="292">
        <v>25</v>
      </c>
      <c r="CP412" s="287"/>
      <c r="CQ412" s="287"/>
      <c r="CR412" s="287">
        <v>26</v>
      </c>
      <c r="CS412" s="6"/>
      <c r="CT412" s="6"/>
      <c r="CU412" s="6"/>
      <c r="CV412" s="6"/>
      <c r="CW412" s="6"/>
      <c r="CX412" s="6"/>
      <c r="CY412" s="6"/>
      <c r="CZ412" s="6"/>
      <c r="DA412" s="343">
        <f t="shared" si="13"/>
        <v>18</v>
      </c>
    </row>
    <row r="413" spans="1:105" ht="20" customHeight="1" x14ac:dyDescent="0.35">
      <c r="A413" s="301"/>
      <c r="B413" s="270" t="s">
        <v>1206</v>
      </c>
      <c r="C413" s="270" t="s">
        <v>1658</v>
      </c>
      <c r="D413" s="297" t="s">
        <v>653</v>
      </c>
      <c r="E413" s="270" t="s">
        <v>1207</v>
      </c>
      <c r="F413" s="270" t="s">
        <v>2059</v>
      </c>
      <c r="G413" s="270" t="s">
        <v>33</v>
      </c>
      <c r="H413" s="298">
        <v>27</v>
      </c>
      <c r="I413" s="292">
        <v>34</v>
      </c>
      <c r="J413" s="292">
        <v>34</v>
      </c>
      <c r="K413" s="286"/>
      <c r="L413" s="286"/>
      <c r="M413" s="286"/>
      <c r="N413" s="286"/>
      <c r="O413" s="286"/>
      <c r="P413" s="292"/>
      <c r="Q413" s="286"/>
      <c r="R413" s="286"/>
      <c r="S413" s="286"/>
      <c r="T413" s="286">
        <v>34</v>
      </c>
      <c r="U413" s="286"/>
      <c r="V413" s="286"/>
      <c r="W413" s="286"/>
      <c r="X413" s="286"/>
      <c r="Y413" s="286"/>
      <c r="Z413" s="286"/>
      <c r="AA413" s="286"/>
      <c r="AB413" s="286"/>
      <c r="AC413" s="286">
        <v>34</v>
      </c>
      <c r="AD413" s="286"/>
      <c r="AE413" s="286"/>
      <c r="AF413" s="286"/>
      <c r="AG413" s="286"/>
      <c r="AH413" s="286"/>
      <c r="AI413" s="286">
        <v>34</v>
      </c>
      <c r="AJ413" s="286"/>
      <c r="AK413" s="295"/>
      <c r="AL413" s="288"/>
      <c r="AM413" s="287"/>
      <c r="AN413" s="287"/>
      <c r="AO413" s="286">
        <v>34</v>
      </c>
      <c r="AP413" s="286">
        <v>34</v>
      </c>
      <c r="AQ413" s="296"/>
      <c r="AR413" s="286">
        <v>34</v>
      </c>
      <c r="AS413" s="286">
        <v>34</v>
      </c>
      <c r="AT413" s="286">
        <v>34</v>
      </c>
      <c r="AU413" s="286">
        <v>34</v>
      </c>
      <c r="AV413" s="286">
        <v>34</v>
      </c>
      <c r="AW413" s="286">
        <v>34</v>
      </c>
      <c r="AX413" s="286">
        <v>34</v>
      </c>
      <c r="AY413" s="286">
        <v>34</v>
      </c>
      <c r="AZ413" s="286">
        <v>34</v>
      </c>
      <c r="BA413" s="286">
        <v>34</v>
      </c>
      <c r="BB413" s="286">
        <v>34</v>
      </c>
      <c r="BC413" s="286">
        <v>34</v>
      </c>
      <c r="BD413" s="287"/>
      <c r="BE413" s="287"/>
      <c r="BF413" s="287"/>
      <c r="BG413" s="288">
        <v>34</v>
      </c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287"/>
      <c r="BT413" s="287"/>
      <c r="BU413" s="287"/>
      <c r="BV413" s="287"/>
      <c r="BW413" s="287"/>
      <c r="BX413" s="286">
        <v>34</v>
      </c>
      <c r="BY413" s="289"/>
      <c r="BZ413" s="289"/>
      <c r="CA413" s="289"/>
      <c r="CB413" s="289"/>
      <c r="CC413" s="289"/>
      <c r="CD413" s="289"/>
      <c r="CE413" s="289"/>
      <c r="CF413" s="289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>
        <v>34</v>
      </c>
      <c r="CS413" s="288">
        <v>34</v>
      </c>
      <c r="CT413" s="6"/>
      <c r="CU413" s="6"/>
      <c r="CV413" s="6"/>
      <c r="CW413" s="6"/>
      <c r="CX413" s="6"/>
      <c r="CY413" s="6"/>
      <c r="CZ413" s="6"/>
      <c r="DA413" s="343">
        <f t="shared" si="13"/>
        <v>27</v>
      </c>
    </row>
    <row r="414" spans="1:105" ht="20" customHeight="1" x14ac:dyDescent="0.35">
      <c r="A414" s="301"/>
      <c r="B414" s="270" t="s">
        <v>1241</v>
      </c>
      <c r="C414" s="270" t="s">
        <v>2013</v>
      </c>
      <c r="D414" s="270" t="s">
        <v>2012</v>
      </c>
      <c r="E414" s="270" t="s">
        <v>984</v>
      </c>
      <c r="F414" s="270" t="s">
        <v>2014</v>
      </c>
      <c r="G414" s="270" t="s">
        <v>36</v>
      </c>
      <c r="H414" s="298">
        <v>26</v>
      </c>
      <c r="I414" s="292"/>
      <c r="J414" s="286">
        <v>35</v>
      </c>
      <c r="K414" s="286"/>
      <c r="L414" s="286"/>
      <c r="M414" s="286"/>
      <c r="N414" s="286"/>
      <c r="O414" s="286"/>
      <c r="P414" s="292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7"/>
      <c r="AL414" s="288"/>
      <c r="AM414" s="287"/>
      <c r="AN414" s="287"/>
      <c r="AO414" s="286"/>
      <c r="AP414" s="286"/>
      <c r="AQ414" s="29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  <c r="BC414" s="286"/>
      <c r="BD414" s="287"/>
      <c r="BE414" s="287"/>
      <c r="BF414" s="287"/>
      <c r="BG414" s="287"/>
      <c r="BH414" s="286">
        <v>35</v>
      </c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287"/>
      <c r="BT414" s="287"/>
      <c r="BU414" s="287"/>
      <c r="BV414" s="287"/>
      <c r="BW414" s="287"/>
      <c r="BX414" s="286"/>
      <c r="BY414" s="289"/>
      <c r="BZ414" s="289"/>
      <c r="CA414" s="289"/>
      <c r="CB414" s="289"/>
      <c r="CC414" s="289"/>
      <c r="CD414" s="289"/>
      <c r="CE414" s="289"/>
      <c r="CF414" s="289"/>
      <c r="CG414" s="287"/>
      <c r="CH414" s="287"/>
      <c r="CI414" s="287"/>
      <c r="CJ414" s="287"/>
      <c r="CK414" s="287"/>
      <c r="CL414" s="287"/>
      <c r="CM414" s="287"/>
      <c r="CN414" s="287"/>
      <c r="CO414" s="286">
        <v>35</v>
      </c>
      <c r="CP414" s="287"/>
      <c r="CQ414" s="287"/>
      <c r="CR414" s="287"/>
      <c r="CS414" s="6"/>
      <c r="CT414" s="6"/>
      <c r="CU414" s="6"/>
      <c r="CV414" s="6"/>
      <c r="CW414" s="6"/>
      <c r="CX414" s="6"/>
      <c r="CY414" s="6"/>
      <c r="CZ414" s="6"/>
      <c r="DA414" s="343">
        <f t="shared" si="13"/>
        <v>26</v>
      </c>
    </row>
    <row r="415" spans="1:105" ht="20" customHeight="1" x14ac:dyDescent="0.35">
      <c r="A415" s="301"/>
      <c r="B415" s="270" t="s">
        <v>1249</v>
      </c>
      <c r="C415" s="270" t="s">
        <v>2073</v>
      </c>
      <c r="D415" s="297" t="s">
        <v>1429</v>
      </c>
      <c r="E415" s="270" t="s">
        <v>984</v>
      </c>
      <c r="F415" s="270" t="s">
        <v>2058</v>
      </c>
      <c r="G415" s="270" t="s">
        <v>33</v>
      </c>
      <c r="H415" s="298">
        <v>36</v>
      </c>
      <c r="I415" s="292"/>
      <c r="J415" s="286"/>
      <c r="K415" s="286"/>
      <c r="L415" s="286"/>
      <c r="M415" s="286"/>
      <c r="N415" s="286"/>
      <c r="O415" s="286"/>
      <c r="P415" s="292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7"/>
      <c r="AL415" s="288"/>
      <c r="AM415" s="287"/>
      <c r="AN415" s="287"/>
      <c r="AO415" s="286"/>
      <c r="AP415" s="286"/>
      <c r="AQ415" s="296"/>
      <c r="AR415" s="286"/>
      <c r="AS415" s="286"/>
      <c r="AT415" s="286"/>
      <c r="AU415" s="286"/>
      <c r="AV415" s="286"/>
      <c r="AW415" s="286"/>
      <c r="AX415" s="286"/>
      <c r="AY415" s="286"/>
      <c r="AZ415" s="286"/>
      <c r="BA415" s="286"/>
      <c r="BB415" s="286"/>
      <c r="BC415" s="286"/>
      <c r="BD415" s="287"/>
      <c r="BE415" s="287"/>
      <c r="BF415" s="287"/>
      <c r="BG415" s="288">
        <v>42</v>
      </c>
      <c r="BH415" s="287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287"/>
      <c r="BT415" s="287"/>
      <c r="BU415" s="287"/>
      <c r="BV415" s="287"/>
      <c r="BW415" s="287"/>
      <c r="BX415" s="286"/>
      <c r="BY415" s="289"/>
      <c r="BZ415" s="289">
        <v>44</v>
      </c>
      <c r="CA415" s="289"/>
      <c r="CB415" s="289"/>
      <c r="CC415" s="289"/>
      <c r="CD415" s="289"/>
      <c r="CE415" s="289"/>
      <c r="CF415" s="289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6"/>
      <c r="CT415" s="6"/>
      <c r="CU415" s="6"/>
      <c r="CV415" s="6"/>
      <c r="CW415" s="6"/>
      <c r="CX415" s="6"/>
      <c r="CY415" s="6"/>
      <c r="CZ415" s="6"/>
      <c r="DA415" s="343">
        <f t="shared" si="13"/>
        <v>36</v>
      </c>
    </row>
    <row r="416" spans="1:105" ht="20" customHeight="1" x14ac:dyDescent="0.35">
      <c r="A416" s="301" t="s">
        <v>2102</v>
      </c>
      <c r="B416" s="270" t="s">
        <v>1271</v>
      </c>
      <c r="C416" s="274" t="s">
        <v>2042</v>
      </c>
      <c r="D416" s="297" t="s">
        <v>535</v>
      </c>
      <c r="E416" s="270" t="s">
        <v>2043</v>
      </c>
      <c r="F416" s="270" t="s">
        <v>2044</v>
      </c>
      <c r="G416" s="270" t="s">
        <v>44</v>
      </c>
      <c r="H416" s="298">
        <v>1.7</v>
      </c>
      <c r="I416" s="292">
        <v>2.1</v>
      </c>
      <c r="J416" s="286"/>
      <c r="K416" s="286"/>
      <c r="L416" s="286"/>
      <c r="M416" s="286"/>
      <c r="N416" s="286"/>
      <c r="O416" s="286"/>
      <c r="P416" s="292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7"/>
      <c r="AL416" s="288"/>
      <c r="AM416" s="287"/>
      <c r="AN416" s="287"/>
      <c r="AO416" s="286"/>
      <c r="AP416" s="286"/>
      <c r="AQ416" s="296"/>
      <c r="AR416" s="286"/>
      <c r="AS416" s="286"/>
      <c r="AT416" s="286"/>
      <c r="AU416" s="286"/>
      <c r="AV416" s="286"/>
      <c r="AW416" s="286"/>
      <c r="AX416" s="286"/>
      <c r="AY416" s="286"/>
      <c r="AZ416" s="286"/>
      <c r="BA416" s="286"/>
      <c r="BB416" s="286"/>
      <c r="BC416" s="286"/>
      <c r="BD416" s="287"/>
      <c r="BE416" s="287"/>
      <c r="BF416" s="287"/>
      <c r="BG416" s="287"/>
      <c r="BH416" s="287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287"/>
      <c r="BT416" s="287"/>
      <c r="BU416" s="287"/>
      <c r="BV416" s="287"/>
      <c r="BW416" s="287"/>
      <c r="BX416" s="286"/>
      <c r="BY416" s="289"/>
      <c r="BZ416" s="289"/>
      <c r="CA416" s="289"/>
      <c r="CB416" s="289"/>
      <c r="CC416" s="289"/>
      <c r="CD416" s="289"/>
      <c r="CE416" s="289"/>
      <c r="CF416" s="289"/>
      <c r="CG416" s="287"/>
      <c r="CH416" s="287"/>
      <c r="CI416" s="287"/>
      <c r="CJ416" s="287"/>
      <c r="CK416" s="287"/>
      <c r="CL416" s="287"/>
      <c r="CM416" s="287"/>
      <c r="CN416" s="287"/>
      <c r="CO416" s="287"/>
      <c r="CP416" s="287"/>
      <c r="CQ416" s="287">
        <v>2.1</v>
      </c>
      <c r="CR416" s="287">
        <v>2.4</v>
      </c>
      <c r="CS416" s="6"/>
      <c r="CT416" s="6"/>
      <c r="CU416" s="6"/>
      <c r="CV416" s="6"/>
      <c r="CW416" s="6"/>
      <c r="CX416" s="6"/>
      <c r="CY416" s="6"/>
      <c r="CZ416" s="6"/>
      <c r="DA416" s="343">
        <f t="shared" si="13"/>
        <v>1.7</v>
      </c>
    </row>
    <row r="417" spans="1:105" ht="20" customHeight="1" x14ac:dyDescent="0.35">
      <c r="A417" s="301"/>
      <c r="B417" s="306" t="s">
        <v>1272</v>
      </c>
      <c r="C417" s="270"/>
      <c r="D417" s="270"/>
      <c r="E417" s="270"/>
      <c r="F417" s="270"/>
      <c r="G417" s="270"/>
      <c r="H417" s="298"/>
      <c r="I417" s="292"/>
      <c r="J417" s="286"/>
      <c r="K417" s="286"/>
      <c r="L417" s="286"/>
      <c r="M417" s="286"/>
      <c r="N417" s="286"/>
      <c r="O417" s="286"/>
      <c r="P417" s="292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7"/>
      <c r="AL417" s="288"/>
      <c r="AM417" s="287"/>
      <c r="AN417" s="287"/>
      <c r="AO417" s="286"/>
      <c r="AP417" s="286"/>
      <c r="AQ417" s="296"/>
      <c r="AR417" s="286"/>
      <c r="AS417" s="286"/>
      <c r="AT417" s="286"/>
      <c r="AU417" s="286"/>
      <c r="AV417" s="286"/>
      <c r="AW417" s="286"/>
      <c r="AX417" s="286"/>
      <c r="AY417" s="286"/>
      <c r="AZ417" s="286"/>
      <c r="BA417" s="286"/>
      <c r="BB417" s="286"/>
      <c r="BC417" s="286"/>
      <c r="BD417" s="287"/>
      <c r="BE417" s="287"/>
      <c r="BF417" s="287"/>
      <c r="BG417" s="287"/>
      <c r="BH417" s="287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287"/>
      <c r="BT417" s="287"/>
      <c r="BU417" s="287"/>
      <c r="BV417" s="287"/>
      <c r="BW417" s="287"/>
      <c r="BX417" s="286"/>
      <c r="BY417" s="289"/>
      <c r="BZ417" s="289"/>
      <c r="CA417" s="289"/>
      <c r="CB417" s="289"/>
      <c r="CC417" s="289"/>
      <c r="CD417" s="289"/>
      <c r="CE417" s="289"/>
      <c r="CF417" s="289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6"/>
      <c r="CT417" s="6"/>
      <c r="CU417" s="6"/>
      <c r="CV417" s="6"/>
      <c r="CW417" s="6"/>
      <c r="CX417" s="6"/>
      <c r="CY417" s="6"/>
      <c r="CZ417" s="6"/>
      <c r="DA417" s="343">
        <f t="shared" si="13"/>
        <v>0</v>
      </c>
    </row>
    <row r="418" spans="1:105" ht="20" customHeight="1" x14ac:dyDescent="0.35">
      <c r="A418" s="290"/>
      <c r="B418" s="306" t="s">
        <v>1279</v>
      </c>
      <c r="C418" s="270" t="s">
        <v>1784</v>
      </c>
      <c r="D418" s="270" t="s">
        <v>653</v>
      </c>
      <c r="E418" s="270" t="s">
        <v>1786</v>
      </c>
      <c r="F418" s="270" t="s">
        <v>1863</v>
      </c>
      <c r="G418" s="270" t="s">
        <v>33</v>
      </c>
      <c r="H418" s="298">
        <v>16</v>
      </c>
      <c r="I418" s="325">
        <v>0</v>
      </c>
      <c r="J418" s="292">
        <v>20.5</v>
      </c>
      <c r="K418" s="286"/>
      <c r="L418" s="286">
        <v>24</v>
      </c>
      <c r="M418" s="286"/>
      <c r="N418" s="286">
        <v>22</v>
      </c>
      <c r="O418" s="286"/>
      <c r="P418" s="292">
        <v>22</v>
      </c>
      <c r="Q418" s="286"/>
      <c r="R418" s="286"/>
      <c r="S418" s="286"/>
      <c r="T418" s="286">
        <v>20.5</v>
      </c>
      <c r="U418" s="286"/>
      <c r="V418" s="286"/>
      <c r="W418" s="286"/>
      <c r="X418" s="286"/>
      <c r="Y418" s="286"/>
      <c r="Z418" s="286"/>
      <c r="AA418" s="286"/>
      <c r="AB418" s="286">
        <v>23</v>
      </c>
      <c r="AC418" s="286">
        <v>22</v>
      </c>
      <c r="AD418" s="286"/>
      <c r="AE418" s="286"/>
      <c r="AF418" s="286"/>
      <c r="AG418" s="286"/>
      <c r="AH418" s="286"/>
      <c r="AI418" s="286">
        <v>20.5</v>
      </c>
      <c r="AJ418" s="286"/>
      <c r="AK418" s="287">
        <v>23</v>
      </c>
      <c r="AL418" s="288">
        <v>20.5</v>
      </c>
      <c r="AM418" s="287">
        <v>23</v>
      </c>
      <c r="AN418" s="287"/>
      <c r="AO418" s="286">
        <v>20.5</v>
      </c>
      <c r="AP418" s="286">
        <v>20.5</v>
      </c>
      <c r="AQ418" s="296">
        <v>22</v>
      </c>
      <c r="AR418" s="286">
        <v>20.5</v>
      </c>
      <c r="AS418" s="286">
        <v>20.5</v>
      </c>
      <c r="AT418" s="286">
        <v>20.5</v>
      </c>
      <c r="AU418" s="286">
        <v>20.5</v>
      </c>
      <c r="AV418" s="286">
        <v>20.5</v>
      </c>
      <c r="AW418" s="286">
        <v>20.5</v>
      </c>
      <c r="AX418" s="286">
        <v>20.5</v>
      </c>
      <c r="AY418" s="286">
        <v>20.5</v>
      </c>
      <c r="AZ418" s="286">
        <v>20.5</v>
      </c>
      <c r="BA418" s="286">
        <v>20.5</v>
      </c>
      <c r="BB418" s="286">
        <v>20.5</v>
      </c>
      <c r="BC418" s="286">
        <v>20.5</v>
      </c>
      <c r="BD418" s="287"/>
      <c r="BE418" s="287"/>
      <c r="BF418" s="287"/>
      <c r="BG418" s="288">
        <v>24</v>
      </c>
      <c r="BH418" s="287"/>
      <c r="BI418" s="287"/>
      <c r="BJ418" s="287"/>
      <c r="BK418" s="287"/>
      <c r="BL418" s="287"/>
      <c r="BM418" s="287"/>
      <c r="BN418" s="287"/>
      <c r="BO418" s="287"/>
      <c r="BP418" s="287"/>
      <c r="BQ418" s="287"/>
      <c r="BR418" s="287"/>
      <c r="BS418" s="287"/>
      <c r="BT418" s="287"/>
      <c r="BU418" s="287"/>
      <c r="BV418" s="287"/>
      <c r="BW418" s="287"/>
      <c r="BX418" s="286">
        <v>20.5</v>
      </c>
      <c r="BY418" s="289"/>
      <c r="BZ418" s="289"/>
      <c r="CA418" s="289"/>
      <c r="CB418" s="289"/>
      <c r="CC418" s="289"/>
      <c r="CD418" s="289"/>
      <c r="CE418" s="289"/>
      <c r="CF418" s="289"/>
      <c r="CG418" s="287"/>
      <c r="CH418" s="287"/>
      <c r="CI418" s="287"/>
      <c r="CJ418" s="287"/>
      <c r="CK418" s="287"/>
      <c r="CL418" s="287"/>
      <c r="CM418" s="286">
        <v>20.5</v>
      </c>
      <c r="CN418" s="292">
        <v>20.5</v>
      </c>
      <c r="CO418" s="292">
        <v>20.5</v>
      </c>
      <c r="CP418" s="287"/>
      <c r="CQ418" s="287"/>
      <c r="CR418" s="287"/>
      <c r="CS418" s="288">
        <v>23</v>
      </c>
      <c r="CT418" s="6"/>
      <c r="CU418" s="6"/>
      <c r="CV418" s="6"/>
      <c r="CW418" s="6"/>
      <c r="CX418" s="6"/>
      <c r="CY418" s="6"/>
      <c r="CZ418" s="6"/>
      <c r="DA418" s="343">
        <f t="shared" si="13"/>
        <v>16</v>
      </c>
    </row>
    <row r="419" spans="1:105" ht="20" customHeight="1" x14ac:dyDescent="0.35">
      <c r="A419" s="301"/>
      <c r="B419" s="306" t="s">
        <v>1358</v>
      </c>
      <c r="C419" s="270"/>
      <c r="D419" s="270"/>
      <c r="E419" s="270"/>
      <c r="F419" s="270"/>
      <c r="G419" s="270"/>
      <c r="H419" s="298"/>
      <c r="I419" s="292"/>
      <c r="J419" s="286"/>
      <c r="K419" s="286"/>
      <c r="L419" s="286"/>
      <c r="M419" s="286"/>
      <c r="N419" s="286"/>
      <c r="O419" s="286"/>
      <c r="P419" s="292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7"/>
      <c r="AL419" s="288"/>
      <c r="AM419" s="287"/>
      <c r="AN419" s="287"/>
      <c r="AO419" s="286"/>
      <c r="AP419" s="286"/>
      <c r="AQ419" s="296"/>
      <c r="AR419" s="286"/>
      <c r="AS419" s="286"/>
      <c r="AT419" s="286"/>
      <c r="AU419" s="286"/>
      <c r="AV419" s="286"/>
      <c r="AW419" s="286"/>
      <c r="AX419" s="286"/>
      <c r="AY419" s="286"/>
      <c r="AZ419" s="286"/>
      <c r="BA419" s="286"/>
      <c r="BB419" s="286"/>
      <c r="BC419" s="286"/>
      <c r="BD419" s="287"/>
      <c r="BE419" s="287"/>
      <c r="BF419" s="287"/>
      <c r="BG419" s="287"/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287"/>
      <c r="BT419" s="287"/>
      <c r="BU419" s="287"/>
      <c r="BV419" s="287"/>
      <c r="BW419" s="287"/>
      <c r="BX419" s="286"/>
      <c r="BY419" s="289"/>
      <c r="BZ419" s="289"/>
      <c r="CA419" s="289"/>
      <c r="CB419" s="289"/>
      <c r="CC419" s="289"/>
      <c r="CD419" s="289"/>
      <c r="CE419" s="289"/>
      <c r="CF419" s="289"/>
      <c r="CG419" s="287"/>
      <c r="CH419" s="287"/>
      <c r="CI419" s="287"/>
      <c r="CJ419" s="287"/>
      <c r="CK419" s="287"/>
      <c r="CL419" s="287"/>
      <c r="CM419" s="287"/>
      <c r="CN419" s="287"/>
      <c r="CO419" s="292"/>
      <c r="CP419" s="287"/>
      <c r="CQ419" s="287"/>
      <c r="CR419" s="287"/>
      <c r="CS419" s="6"/>
      <c r="CT419" s="6"/>
      <c r="CU419" s="6"/>
      <c r="CV419" s="6"/>
      <c r="CW419" s="6"/>
      <c r="CX419" s="6"/>
      <c r="CY419" s="6"/>
      <c r="CZ419" s="6"/>
      <c r="DA419" s="343">
        <f t="shared" si="13"/>
        <v>0</v>
      </c>
    </row>
    <row r="420" spans="1:105" ht="20" customHeight="1" x14ac:dyDescent="0.35">
      <c r="A420" s="301"/>
      <c r="B420" s="306" t="s">
        <v>1292</v>
      </c>
      <c r="C420" s="270" t="s">
        <v>1785</v>
      </c>
      <c r="D420" s="270" t="s">
        <v>653</v>
      </c>
      <c r="E420" s="270" t="s">
        <v>1786</v>
      </c>
      <c r="F420" s="270" t="s">
        <v>1863</v>
      </c>
      <c r="G420" s="270" t="s">
        <v>33</v>
      </c>
      <c r="H420" s="298">
        <v>14.5</v>
      </c>
      <c r="I420" s="325">
        <v>0</v>
      </c>
      <c r="J420" s="292">
        <v>20.5</v>
      </c>
      <c r="K420" s="286"/>
      <c r="L420" s="286"/>
      <c r="M420" s="286"/>
      <c r="N420" s="286">
        <v>22</v>
      </c>
      <c r="O420" s="286"/>
      <c r="P420" s="292">
        <v>22</v>
      </c>
      <c r="Q420" s="286"/>
      <c r="R420" s="286"/>
      <c r="S420" s="286"/>
      <c r="T420" s="286">
        <v>20.5</v>
      </c>
      <c r="U420" s="286"/>
      <c r="V420" s="286"/>
      <c r="W420" s="286"/>
      <c r="X420" s="286"/>
      <c r="Y420" s="286"/>
      <c r="Z420" s="286"/>
      <c r="AA420" s="286"/>
      <c r="AB420" s="286"/>
      <c r="AC420" s="286">
        <v>22</v>
      </c>
      <c r="AD420" s="286"/>
      <c r="AE420" s="286"/>
      <c r="AF420" s="286"/>
      <c r="AG420" s="286"/>
      <c r="AH420" s="286"/>
      <c r="AI420" s="286"/>
      <c r="AJ420" s="286"/>
      <c r="AK420" s="287"/>
      <c r="AL420" s="288"/>
      <c r="AM420" s="287">
        <v>23</v>
      </c>
      <c r="AN420" s="287"/>
      <c r="AO420" s="286"/>
      <c r="AP420" s="286"/>
      <c r="AQ420" s="296"/>
      <c r="AR420" s="286"/>
      <c r="AS420" s="286"/>
      <c r="AT420" s="286">
        <v>20.5</v>
      </c>
      <c r="AU420" s="286">
        <v>20.5</v>
      </c>
      <c r="AV420" s="286"/>
      <c r="AW420" s="286"/>
      <c r="AX420" s="286"/>
      <c r="AY420" s="286"/>
      <c r="AZ420" s="286"/>
      <c r="BA420" s="286"/>
      <c r="BB420" s="286"/>
      <c r="BC420" s="286"/>
      <c r="BD420" s="287"/>
      <c r="BE420" s="287"/>
      <c r="BF420" s="287"/>
      <c r="BG420" s="288">
        <v>23</v>
      </c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287"/>
      <c r="BT420" s="287"/>
      <c r="BU420" s="287"/>
      <c r="BV420" s="287"/>
      <c r="BW420" s="287"/>
      <c r="BX420" s="286"/>
      <c r="BY420" s="289"/>
      <c r="BZ420" s="289"/>
      <c r="CA420" s="289"/>
      <c r="CB420" s="289"/>
      <c r="CC420" s="289"/>
      <c r="CD420" s="289"/>
      <c r="CE420" s="289"/>
      <c r="CF420" s="289"/>
      <c r="CG420" s="287"/>
      <c r="CH420" s="287"/>
      <c r="CI420" s="287"/>
      <c r="CJ420" s="287"/>
      <c r="CK420" s="287"/>
      <c r="CL420" s="287"/>
      <c r="CM420" s="287"/>
      <c r="CN420" s="292">
        <v>20.5</v>
      </c>
      <c r="CO420" s="292">
        <v>20.5</v>
      </c>
      <c r="CP420" s="287"/>
      <c r="CQ420" s="287"/>
      <c r="CR420" s="287"/>
      <c r="CS420" s="288">
        <v>23</v>
      </c>
      <c r="CT420" s="6"/>
      <c r="CU420" s="6"/>
      <c r="CV420" s="6"/>
      <c r="CW420" s="6"/>
      <c r="CX420" s="6"/>
      <c r="CY420" s="6"/>
      <c r="CZ420" s="6"/>
      <c r="DA420" s="343">
        <f t="shared" si="13"/>
        <v>14.5</v>
      </c>
    </row>
    <row r="421" spans="1:105" ht="20" customHeight="1" x14ac:dyDescent="0.35">
      <c r="A421" s="301"/>
      <c r="B421" s="306" t="s">
        <v>1359</v>
      </c>
      <c r="C421" s="270"/>
      <c r="D421" s="270"/>
      <c r="E421" s="270"/>
      <c r="F421" s="270"/>
      <c r="G421" s="270"/>
      <c r="H421" s="298"/>
      <c r="I421" s="292"/>
      <c r="J421" s="286"/>
      <c r="K421" s="286"/>
      <c r="L421" s="286"/>
      <c r="M421" s="286"/>
      <c r="N421" s="286"/>
      <c r="O421" s="286"/>
      <c r="P421" s="292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7"/>
      <c r="AL421" s="288"/>
      <c r="AM421" s="287"/>
      <c r="AN421" s="287"/>
      <c r="AO421" s="286"/>
      <c r="AP421" s="286"/>
      <c r="AQ421" s="296"/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  <c r="BD421" s="287"/>
      <c r="BE421" s="287"/>
      <c r="BF421" s="287"/>
      <c r="BG421" s="287"/>
      <c r="BH421" s="287"/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287"/>
      <c r="BT421" s="287"/>
      <c r="BU421" s="287"/>
      <c r="BV421" s="287"/>
      <c r="BW421" s="287"/>
      <c r="BX421" s="286"/>
      <c r="BY421" s="289"/>
      <c r="BZ421" s="289"/>
      <c r="CA421" s="289"/>
      <c r="CB421" s="289"/>
      <c r="CC421" s="289"/>
      <c r="CD421" s="289"/>
      <c r="CE421" s="289"/>
      <c r="CF421" s="289"/>
      <c r="CG421" s="287"/>
      <c r="CH421" s="287"/>
      <c r="CI421" s="287"/>
      <c r="CJ421" s="287"/>
      <c r="CK421" s="287"/>
      <c r="CL421" s="287"/>
      <c r="CM421" s="287"/>
      <c r="CN421" s="287"/>
      <c r="CO421" s="287"/>
      <c r="CP421" s="287"/>
      <c r="CQ421" s="287"/>
      <c r="CR421" s="287"/>
      <c r="CS421" s="6"/>
      <c r="CT421" s="6"/>
      <c r="CU421" s="6"/>
      <c r="CV421" s="6"/>
      <c r="CW421" s="6"/>
      <c r="CX421" s="6"/>
      <c r="CY421" s="6"/>
      <c r="CZ421" s="6"/>
      <c r="DA421" s="343">
        <f t="shared" si="13"/>
        <v>0</v>
      </c>
    </row>
    <row r="422" spans="1:105" ht="20" customHeight="1" x14ac:dyDescent="0.35">
      <c r="A422" s="301"/>
      <c r="B422" s="306" t="s">
        <v>1357</v>
      </c>
      <c r="C422" s="270" t="s">
        <v>1659</v>
      </c>
      <c r="D422" s="270" t="s">
        <v>655</v>
      </c>
      <c r="E422" s="270" t="s">
        <v>1676</v>
      </c>
      <c r="F422" s="270" t="s">
        <v>1863</v>
      </c>
      <c r="G422" s="270" t="s">
        <v>36</v>
      </c>
      <c r="H422" s="298">
        <v>26.5</v>
      </c>
      <c r="I422" s="292"/>
      <c r="J422" s="286"/>
      <c r="K422" s="286"/>
      <c r="L422" s="286"/>
      <c r="M422" s="286"/>
      <c r="N422" s="286"/>
      <c r="O422" s="286"/>
      <c r="P422" s="292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>
        <v>31</v>
      </c>
      <c r="AD422" s="286"/>
      <c r="AE422" s="286"/>
      <c r="AF422" s="286"/>
      <c r="AG422" s="286"/>
      <c r="AH422" s="286"/>
      <c r="AI422" s="286"/>
      <c r="AJ422" s="286"/>
      <c r="AK422" s="287"/>
      <c r="AL422" s="288"/>
      <c r="AM422" s="287"/>
      <c r="AN422" s="287"/>
      <c r="AO422" s="286"/>
      <c r="AP422" s="286"/>
      <c r="AQ422" s="296"/>
      <c r="AR422" s="286"/>
      <c r="AS422" s="286"/>
      <c r="AT422" s="286"/>
      <c r="AU422" s="286"/>
      <c r="AV422" s="286"/>
      <c r="AW422" s="286"/>
      <c r="AX422" s="286"/>
      <c r="AY422" s="286"/>
      <c r="AZ422" s="286"/>
      <c r="BA422" s="286"/>
      <c r="BB422" s="286"/>
      <c r="BC422" s="286"/>
      <c r="BD422" s="287"/>
      <c r="BE422" s="287"/>
      <c r="BF422" s="287"/>
      <c r="BG422" s="287"/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287"/>
      <c r="BT422" s="287"/>
      <c r="BU422" s="287"/>
      <c r="BV422" s="287"/>
      <c r="BW422" s="287"/>
      <c r="BX422" s="286"/>
      <c r="BY422" s="289"/>
      <c r="BZ422" s="289"/>
      <c r="CA422" s="289"/>
      <c r="CB422" s="289"/>
      <c r="CC422" s="289"/>
      <c r="CD422" s="289"/>
      <c r="CE422" s="289"/>
      <c r="CF422" s="289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6"/>
      <c r="CT422" s="6"/>
      <c r="CU422" s="6"/>
      <c r="CV422" s="6"/>
      <c r="CW422" s="6"/>
      <c r="CX422" s="6"/>
      <c r="CY422" s="6"/>
      <c r="CZ422" s="6"/>
      <c r="DA422" s="343">
        <f t="shared" si="13"/>
        <v>26.5</v>
      </c>
    </row>
    <row r="423" spans="1:105" ht="20" customHeight="1" x14ac:dyDescent="0.35">
      <c r="A423" s="301"/>
      <c r="B423" s="306" t="s">
        <v>1372</v>
      </c>
      <c r="C423" s="270" t="s">
        <v>1660</v>
      </c>
      <c r="D423" s="270"/>
      <c r="E423" s="270" t="s">
        <v>984</v>
      </c>
      <c r="F423" s="270" t="s">
        <v>1864</v>
      </c>
      <c r="G423" s="270" t="s">
        <v>36</v>
      </c>
      <c r="H423" s="298">
        <v>31.2</v>
      </c>
      <c r="I423" s="292"/>
      <c r="J423" s="286"/>
      <c r="K423" s="286"/>
      <c r="L423" s="286"/>
      <c r="M423" s="286"/>
      <c r="N423" s="286"/>
      <c r="O423" s="286"/>
      <c r="P423" s="292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95">
        <v>38</v>
      </c>
      <c r="AL423" s="288"/>
      <c r="AM423" s="287"/>
      <c r="AN423" s="287"/>
      <c r="AO423" s="286"/>
      <c r="AP423" s="286"/>
      <c r="AQ423" s="296"/>
      <c r="AR423" s="286"/>
      <c r="AS423" s="286"/>
      <c r="AT423" s="286"/>
      <c r="AU423" s="286"/>
      <c r="AV423" s="286"/>
      <c r="AW423" s="286"/>
      <c r="AX423" s="286"/>
      <c r="AY423" s="286"/>
      <c r="AZ423" s="286"/>
      <c r="BA423" s="286"/>
      <c r="BB423" s="286"/>
      <c r="BC423" s="286"/>
      <c r="BD423" s="287"/>
      <c r="BE423" s="287"/>
      <c r="BF423" s="287"/>
      <c r="BG423" s="288">
        <v>38</v>
      </c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287"/>
      <c r="BT423" s="287"/>
      <c r="BU423" s="287"/>
      <c r="BV423" s="287"/>
      <c r="BW423" s="287"/>
      <c r="BX423" s="286"/>
      <c r="BY423" s="289"/>
      <c r="BZ423" s="289"/>
      <c r="CA423" s="289"/>
      <c r="CB423" s="289"/>
      <c r="CC423" s="289"/>
      <c r="CD423" s="289"/>
      <c r="CE423" s="289"/>
      <c r="CF423" s="289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/>
      <c r="CR423" s="287"/>
      <c r="CS423" s="6"/>
      <c r="CT423" s="6"/>
      <c r="CU423" s="6"/>
      <c r="CV423" s="6"/>
      <c r="CW423" s="6"/>
      <c r="CX423" s="6"/>
      <c r="CY423" s="6"/>
      <c r="CZ423" s="6"/>
      <c r="DA423" s="343">
        <f t="shared" si="13"/>
        <v>31.2</v>
      </c>
    </row>
    <row r="424" spans="1:105" ht="20" customHeight="1" x14ac:dyDescent="0.35">
      <c r="A424" s="301"/>
      <c r="B424" s="306" t="s">
        <v>1455</v>
      </c>
      <c r="C424" s="270" t="s">
        <v>1464</v>
      </c>
      <c r="D424" s="270" t="s">
        <v>655</v>
      </c>
      <c r="E424" s="270" t="s">
        <v>1456</v>
      </c>
      <c r="F424" s="270" t="s">
        <v>1863</v>
      </c>
      <c r="G424" s="270" t="s">
        <v>36</v>
      </c>
      <c r="H424" s="298">
        <v>16</v>
      </c>
      <c r="I424" s="292"/>
      <c r="J424" s="286"/>
      <c r="K424" s="286"/>
      <c r="L424" s="286"/>
      <c r="M424" s="286"/>
      <c r="N424" s="286"/>
      <c r="O424" s="286"/>
      <c r="P424" s="292">
        <v>21</v>
      </c>
      <c r="Q424" s="286">
        <v>21</v>
      </c>
      <c r="R424" s="286">
        <v>21</v>
      </c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>
        <v>20</v>
      </c>
      <c r="AD424" s="286"/>
      <c r="AE424" s="286"/>
      <c r="AF424" s="286"/>
      <c r="AG424" s="286"/>
      <c r="AH424" s="286"/>
      <c r="AI424" s="286"/>
      <c r="AJ424" s="286"/>
      <c r="AK424" s="287"/>
      <c r="AL424" s="288"/>
      <c r="AM424" s="287"/>
      <c r="AN424" s="287"/>
      <c r="AO424" s="286">
        <v>20.5</v>
      </c>
      <c r="AP424" s="286">
        <v>20.5</v>
      </c>
      <c r="AQ424" s="296"/>
      <c r="AR424" s="286">
        <v>20.5</v>
      </c>
      <c r="AS424" s="286">
        <v>20.5</v>
      </c>
      <c r="AT424" s="286">
        <v>20.5</v>
      </c>
      <c r="AU424" s="286">
        <v>20.5</v>
      </c>
      <c r="AV424" s="286">
        <v>20.5</v>
      </c>
      <c r="AW424" s="286">
        <v>20.5</v>
      </c>
      <c r="AX424" s="286">
        <v>20.5</v>
      </c>
      <c r="AY424" s="286">
        <v>20.5</v>
      </c>
      <c r="AZ424" s="286">
        <v>20.5</v>
      </c>
      <c r="BA424" s="286">
        <v>20.5</v>
      </c>
      <c r="BB424" s="286"/>
      <c r="BC424" s="286">
        <v>20.5</v>
      </c>
      <c r="BD424" s="287"/>
      <c r="BE424" s="287"/>
      <c r="BF424" s="287"/>
      <c r="BG424" s="287"/>
      <c r="BH424" s="287"/>
      <c r="BI424" s="287"/>
      <c r="BJ424" s="287"/>
      <c r="BK424" s="287"/>
      <c r="BL424" s="287"/>
      <c r="BM424" s="287"/>
      <c r="BN424" s="287"/>
      <c r="BO424" s="287"/>
      <c r="BP424" s="287"/>
      <c r="BQ424" s="287"/>
      <c r="BR424" s="287"/>
      <c r="BS424" s="287"/>
      <c r="BT424" s="287"/>
      <c r="BU424" s="287"/>
      <c r="BV424" s="287"/>
      <c r="BW424" s="287"/>
      <c r="BX424" s="286"/>
      <c r="BY424" s="289"/>
      <c r="BZ424" s="289"/>
      <c r="CA424" s="289"/>
      <c r="CB424" s="289"/>
      <c r="CC424" s="289"/>
      <c r="CD424" s="289"/>
      <c r="CE424" s="289"/>
      <c r="CF424" s="289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6"/>
      <c r="CT424" s="6"/>
      <c r="CU424" s="6"/>
      <c r="CV424" s="6"/>
      <c r="CW424" s="6"/>
      <c r="CX424" s="6"/>
      <c r="CY424" s="6"/>
      <c r="CZ424" s="6"/>
      <c r="DA424" s="343">
        <f t="shared" si="13"/>
        <v>16</v>
      </c>
    </row>
    <row r="425" spans="1:105" ht="20" customHeight="1" x14ac:dyDescent="0.35">
      <c r="A425" s="290"/>
      <c r="B425" s="270" t="s">
        <v>2208</v>
      </c>
      <c r="C425" s="270" t="s">
        <v>1568</v>
      </c>
      <c r="D425" s="297" t="s">
        <v>653</v>
      </c>
      <c r="E425" s="270" t="s">
        <v>2207</v>
      </c>
      <c r="F425" s="270" t="s">
        <v>2209</v>
      </c>
      <c r="G425" s="270" t="s">
        <v>36</v>
      </c>
      <c r="H425" s="298">
        <v>19.5</v>
      </c>
      <c r="I425" s="292"/>
      <c r="J425" s="292">
        <v>22</v>
      </c>
      <c r="K425" s="286"/>
      <c r="L425" s="286"/>
      <c r="M425" s="286"/>
      <c r="N425" s="286"/>
      <c r="O425" s="286"/>
      <c r="P425" s="286"/>
      <c r="Q425" s="286"/>
      <c r="R425" s="286"/>
      <c r="S425" s="286"/>
      <c r="T425" s="286">
        <v>22</v>
      </c>
      <c r="U425" s="286"/>
      <c r="V425" s="294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>
        <v>22</v>
      </c>
      <c r="AJ425" s="286"/>
      <c r="AK425" s="287"/>
      <c r="AL425" s="288"/>
      <c r="AM425" s="287">
        <v>22</v>
      </c>
      <c r="AN425" s="287"/>
      <c r="AO425" s="286">
        <v>22</v>
      </c>
      <c r="AP425" s="286"/>
      <c r="AQ425" s="296"/>
      <c r="AR425" s="286">
        <v>22</v>
      </c>
      <c r="AS425" s="286"/>
      <c r="AT425" s="286">
        <v>22</v>
      </c>
      <c r="AU425" s="286"/>
      <c r="AV425" s="286">
        <v>22</v>
      </c>
      <c r="AW425" s="286"/>
      <c r="AX425" s="286"/>
      <c r="AY425" s="286">
        <v>22</v>
      </c>
      <c r="AZ425" s="286">
        <v>22</v>
      </c>
      <c r="BA425" s="286"/>
      <c r="BB425" s="286">
        <f>AZ425</f>
        <v>22</v>
      </c>
      <c r="BC425" s="286">
        <v>22</v>
      </c>
      <c r="BD425" s="287"/>
      <c r="BE425" s="286">
        <v>22</v>
      </c>
      <c r="BF425" s="287"/>
      <c r="BG425" s="287"/>
      <c r="BH425" s="286">
        <v>22</v>
      </c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287"/>
      <c r="BT425" s="287"/>
      <c r="BU425" s="287"/>
      <c r="BV425" s="287"/>
      <c r="BW425" s="287"/>
      <c r="BX425" s="286">
        <v>22</v>
      </c>
      <c r="BY425" s="289"/>
      <c r="BZ425" s="289"/>
      <c r="CA425" s="289"/>
      <c r="CB425" s="289"/>
      <c r="CC425" s="289"/>
      <c r="CD425" s="289"/>
      <c r="CE425" s="289"/>
      <c r="CF425" s="289"/>
      <c r="CG425" s="287"/>
      <c r="CH425" s="287"/>
      <c r="CI425" s="287"/>
      <c r="CJ425" s="287"/>
      <c r="CK425" s="287"/>
      <c r="CL425" s="287"/>
      <c r="CM425" s="292">
        <v>22</v>
      </c>
      <c r="CN425" s="292">
        <v>22</v>
      </c>
      <c r="CO425" s="287"/>
      <c r="CP425" s="287"/>
      <c r="CQ425" s="287"/>
      <c r="CR425" s="287">
        <v>24</v>
      </c>
      <c r="CS425" s="6"/>
      <c r="CT425" s="6"/>
      <c r="CU425" s="6"/>
      <c r="CV425" s="6"/>
      <c r="CW425" s="6"/>
      <c r="CX425" s="6"/>
      <c r="CY425" s="6"/>
      <c r="CZ425" s="6"/>
      <c r="DA425" s="343">
        <f t="shared" si="13"/>
        <v>19.5</v>
      </c>
    </row>
    <row r="426" spans="1:105" ht="20" customHeight="1" x14ac:dyDescent="0.35">
      <c r="A426" s="290"/>
      <c r="B426" s="270" t="s">
        <v>2233</v>
      </c>
      <c r="C426" s="270" t="s">
        <v>1469</v>
      </c>
      <c r="D426" s="270" t="s">
        <v>653</v>
      </c>
      <c r="E426" s="270" t="s">
        <v>2207</v>
      </c>
      <c r="F426" s="270" t="s">
        <v>2036</v>
      </c>
      <c r="G426" s="270" t="s">
        <v>36</v>
      </c>
      <c r="H426" s="298">
        <v>28</v>
      </c>
      <c r="I426" s="286"/>
      <c r="J426" s="292">
        <v>34</v>
      </c>
      <c r="K426" s="286"/>
      <c r="L426" s="286"/>
      <c r="M426" s="286"/>
      <c r="N426" s="286"/>
      <c r="O426" s="286"/>
      <c r="P426" s="286"/>
      <c r="Q426" s="286"/>
      <c r="R426" s="286"/>
      <c r="S426" s="286"/>
      <c r="T426" s="292">
        <v>34</v>
      </c>
      <c r="U426" s="286"/>
      <c r="V426" s="294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>
        <v>34</v>
      </c>
      <c r="AJ426" s="286"/>
      <c r="AK426" s="287"/>
      <c r="AL426" s="286"/>
      <c r="AM426" s="287"/>
      <c r="AN426" s="287"/>
      <c r="AO426" s="286"/>
      <c r="AP426" s="286"/>
      <c r="AQ426" s="296"/>
      <c r="AR426" s="292">
        <v>34</v>
      </c>
      <c r="AS426" s="286"/>
      <c r="AT426" s="292">
        <v>34</v>
      </c>
      <c r="AU426" s="292">
        <v>34</v>
      </c>
      <c r="AV426" s="292">
        <v>34</v>
      </c>
      <c r="AW426" s="286"/>
      <c r="AX426" s="286"/>
      <c r="AY426" s="286"/>
      <c r="AZ426" s="286"/>
      <c r="BA426" s="286"/>
      <c r="BB426" s="286"/>
      <c r="BC426" s="286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287"/>
      <c r="BT426" s="287"/>
      <c r="BU426" s="287"/>
      <c r="BV426" s="287"/>
      <c r="BW426" s="287"/>
      <c r="BX426" s="286"/>
      <c r="BY426" s="289"/>
      <c r="BZ426" s="289"/>
      <c r="CA426" s="289"/>
      <c r="CB426" s="289"/>
      <c r="CC426" s="289"/>
      <c r="CD426" s="289"/>
      <c r="CE426" s="289"/>
      <c r="CF426" s="289"/>
      <c r="CG426" s="287"/>
      <c r="CH426" s="287"/>
      <c r="CI426" s="287"/>
      <c r="CJ426" s="287"/>
      <c r="CK426" s="287"/>
      <c r="CL426" s="287"/>
      <c r="CM426" s="292">
        <v>34</v>
      </c>
      <c r="CN426" s="287"/>
      <c r="CO426" s="292">
        <v>34</v>
      </c>
      <c r="CP426" s="287"/>
      <c r="CQ426" s="287"/>
      <c r="CR426" s="287"/>
      <c r="CS426" s="292"/>
      <c r="CT426" s="6"/>
      <c r="CU426" s="6"/>
      <c r="CV426" s="6"/>
      <c r="CW426" s="6"/>
      <c r="CX426" s="6"/>
      <c r="CY426" s="6"/>
      <c r="CZ426" s="6"/>
      <c r="DA426" s="343">
        <f t="shared" si="13"/>
        <v>28</v>
      </c>
    </row>
    <row r="427" spans="1:105" ht="20" customHeight="1" x14ac:dyDescent="0.35">
      <c r="A427" s="290">
        <v>520742</v>
      </c>
      <c r="B427" s="270" t="s">
        <v>2234</v>
      </c>
      <c r="C427" s="270" t="s">
        <v>1469</v>
      </c>
      <c r="D427" s="270" t="s">
        <v>653</v>
      </c>
      <c r="E427" s="270" t="s">
        <v>2207</v>
      </c>
      <c r="F427" s="270" t="s">
        <v>2037</v>
      </c>
      <c r="G427" s="270" t="s">
        <v>36</v>
      </c>
      <c r="H427" s="298">
        <f>H426/2</f>
        <v>14</v>
      </c>
      <c r="I427" s="292">
        <v>18</v>
      </c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94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95"/>
      <c r="AL427" s="288"/>
      <c r="AM427" s="287"/>
      <c r="AN427" s="287"/>
      <c r="AO427" s="287"/>
      <c r="AP427" s="286"/>
      <c r="AQ427" s="29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7"/>
      <c r="BE427" s="287"/>
      <c r="BF427" s="287"/>
      <c r="BG427" s="287"/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287"/>
      <c r="BT427" s="287"/>
      <c r="BU427" s="287"/>
      <c r="BV427" s="287"/>
      <c r="BW427" s="287"/>
      <c r="BX427" s="286"/>
      <c r="BY427" s="289"/>
      <c r="BZ427" s="289"/>
      <c r="CA427" s="289"/>
      <c r="CB427" s="289"/>
      <c r="CC427" s="289"/>
      <c r="CD427" s="289"/>
      <c r="CE427" s="289"/>
      <c r="CF427" s="289"/>
      <c r="CG427" s="287"/>
      <c r="CH427" s="287"/>
      <c r="CI427" s="287"/>
      <c r="CJ427" s="287"/>
      <c r="CK427" s="287"/>
      <c r="CL427" s="287"/>
      <c r="CM427" s="287"/>
      <c r="CN427" s="287"/>
      <c r="CO427" s="287"/>
      <c r="CP427" s="287"/>
      <c r="CQ427" s="287"/>
      <c r="CR427" s="287"/>
      <c r="CS427" s="296"/>
      <c r="CT427" s="6"/>
      <c r="CU427" s="6"/>
      <c r="CV427" s="6"/>
      <c r="CW427" s="6"/>
      <c r="CX427" s="6"/>
      <c r="CY427" s="6"/>
      <c r="CZ427" s="6"/>
      <c r="DA427" s="343">
        <f t="shared" si="13"/>
        <v>14</v>
      </c>
    </row>
    <row r="428" spans="1:105" ht="20" customHeight="1" x14ac:dyDescent="0.35">
      <c r="A428" s="290"/>
      <c r="B428" s="270" t="s">
        <v>2246</v>
      </c>
      <c r="C428" s="270" t="s">
        <v>2247</v>
      </c>
      <c r="D428" s="270" t="s">
        <v>653</v>
      </c>
      <c r="E428" s="270" t="s">
        <v>2207</v>
      </c>
      <c r="F428" s="270" t="s">
        <v>2248</v>
      </c>
      <c r="G428" s="270" t="s">
        <v>36</v>
      </c>
      <c r="H428" s="298">
        <v>42</v>
      </c>
      <c r="I428" s="286"/>
      <c r="J428" s="292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94"/>
      <c r="W428" s="286"/>
      <c r="X428" s="286"/>
      <c r="Y428" s="286"/>
      <c r="Z428" s="286"/>
      <c r="AA428" s="286">
        <v>50</v>
      </c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7"/>
      <c r="AL428" s="286"/>
      <c r="AM428" s="287"/>
      <c r="AN428" s="287"/>
      <c r="AO428" s="286"/>
      <c r="AP428" s="286"/>
      <c r="AQ428" s="296"/>
      <c r="AR428" s="292"/>
      <c r="AS428" s="286"/>
      <c r="AT428" s="286"/>
      <c r="AU428" s="286"/>
      <c r="AV428" s="286"/>
      <c r="AW428" s="286"/>
      <c r="AX428" s="286"/>
      <c r="AY428" s="286"/>
      <c r="AZ428" s="286"/>
      <c r="BA428" s="286"/>
      <c r="BB428" s="286"/>
      <c r="BC428" s="286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287"/>
      <c r="BT428" s="287"/>
      <c r="BU428" s="287"/>
      <c r="BV428" s="287"/>
      <c r="BW428" s="287"/>
      <c r="BX428" s="286"/>
      <c r="BY428" s="289"/>
      <c r="BZ428" s="289"/>
      <c r="CA428" s="289"/>
      <c r="CB428" s="289"/>
      <c r="CC428" s="289"/>
      <c r="CD428" s="289"/>
      <c r="CE428" s="289"/>
      <c r="CF428" s="289"/>
      <c r="CG428" s="287"/>
      <c r="CH428" s="287"/>
      <c r="CI428" s="287"/>
      <c r="CJ428" s="287"/>
      <c r="CK428" s="287"/>
      <c r="CL428" s="287"/>
      <c r="CM428" s="292"/>
      <c r="CN428" s="287"/>
      <c r="CO428" s="292"/>
      <c r="CP428" s="287"/>
      <c r="CQ428" s="287"/>
      <c r="CR428" s="287">
        <v>50</v>
      </c>
      <c r="CS428" s="292"/>
      <c r="CT428" s="6"/>
      <c r="CU428" s="6"/>
      <c r="CV428" s="6"/>
      <c r="CW428" s="6"/>
      <c r="CX428" s="6"/>
      <c r="CY428" s="6"/>
      <c r="CZ428" s="6"/>
      <c r="DA428" s="343">
        <f t="shared" ref="DA428" si="14">H428</f>
        <v>42</v>
      </c>
    </row>
    <row r="429" spans="1:105" ht="20" customHeight="1" x14ac:dyDescent="0.35">
      <c r="A429" s="290"/>
      <c r="B429" s="270" t="s">
        <v>2258</v>
      </c>
      <c r="C429" s="270" t="s">
        <v>1567</v>
      </c>
      <c r="D429" s="297" t="s">
        <v>655</v>
      </c>
      <c r="E429" s="270" t="s">
        <v>2207</v>
      </c>
      <c r="F429" s="270" t="s">
        <v>2036</v>
      </c>
      <c r="G429" s="270" t="s">
        <v>36</v>
      </c>
      <c r="H429" s="298">
        <v>20</v>
      </c>
      <c r="I429" s="300">
        <v>24</v>
      </c>
      <c r="J429" s="286">
        <v>24</v>
      </c>
      <c r="K429" s="286"/>
      <c r="L429" s="286"/>
      <c r="M429" s="286"/>
      <c r="N429" s="292">
        <v>26</v>
      </c>
      <c r="O429" s="286"/>
      <c r="P429" s="286"/>
      <c r="Q429" s="286"/>
      <c r="R429" s="292">
        <v>26</v>
      </c>
      <c r="S429" s="286"/>
      <c r="T429" s="286">
        <v>24</v>
      </c>
      <c r="U429" s="286"/>
      <c r="V429" s="294"/>
      <c r="W429" s="286"/>
      <c r="X429" s="286"/>
      <c r="Y429" s="286">
        <v>26</v>
      </c>
      <c r="Z429" s="286"/>
      <c r="AA429" s="286"/>
      <c r="AB429" s="286"/>
      <c r="AC429" s="286"/>
      <c r="AD429" s="286"/>
      <c r="AE429" s="286">
        <v>26</v>
      </c>
      <c r="AF429" s="286"/>
      <c r="AG429" s="286"/>
      <c r="AH429" s="286"/>
      <c r="AI429" s="286">
        <v>24</v>
      </c>
      <c r="AJ429" s="286"/>
      <c r="AK429" s="287"/>
      <c r="AL429" s="286">
        <v>24</v>
      </c>
      <c r="AM429" s="287"/>
      <c r="AN429" s="287"/>
      <c r="AO429" s="286">
        <v>24</v>
      </c>
      <c r="AP429" s="286">
        <v>24</v>
      </c>
      <c r="AQ429" s="296"/>
      <c r="AR429" s="286">
        <v>24</v>
      </c>
      <c r="AS429" s="286">
        <v>24</v>
      </c>
      <c r="AT429" s="286">
        <v>24</v>
      </c>
      <c r="AU429" s="286">
        <v>24</v>
      </c>
      <c r="AV429" s="286">
        <v>24</v>
      </c>
      <c r="AW429" s="286">
        <v>24</v>
      </c>
      <c r="AX429" s="286">
        <v>24</v>
      </c>
      <c r="AY429" s="286">
        <v>24</v>
      </c>
      <c r="AZ429" s="286">
        <v>24</v>
      </c>
      <c r="BA429" s="286">
        <v>24</v>
      </c>
      <c r="BB429" s="286">
        <v>24</v>
      </c>
      <c r="BC429" s="286">
        <v>24</v>
      </c>
      <c r="BD429" s="287"/>
      <c r="BE429" s="287"/>
      <c r="BF429" s="287"/>
      <c r="BG429" s="287"/>
      <c r="BH429" s="286">
        <v>24</v>
      </c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287"/>
      <c r="BT429" s="287"/>
      <c r="BU429" s="287"/>
      <c r="BV429" s="287"/>
      <c r="BW429" s="287"/>
      <c r="BX429" s="286"/>
      <c r="BY429" s="289"/>
      <c r="BZ429" s="289">
        <v>26</v>
      </c>
      <c r="CA429" s="289"/>
      <c r="CB429" s="289"/>
      <c r="CC429" s="289"/>
      <c r="CD429" s="289"/>
      <c r="CE429" s="289"/>
      <c r="CF429" s="289"/>
      <c r="CG429" s="287"/>
      <c r="CH429" s="287"/>
      <c r="CI429" s="287"/>
      <c r="CJ429" s="287"/>
      <c r="CK429" s="287"/>
      <c r="CL429" s="287"/>
      <c r="CM429" s="286">
        <v>24</v>
      </c>
      <c r="CN429" s="286">
        <v>24</v>
      </c>
      <c r="CO429" s="292">
        <v>24</v>
      </c>
      <c r="CP429" s="287"/>
      <c r="CQ429" s="287"/>
      <c r="CR429" s="287">
        <v>50</v>
      </c>
      <c r="CS429" s="292"/>
      <c r="CT429" s="6"/>
      <c r="CU429" s="6"/>
      <c r="CV429" s="6"/>
      <c r="CW429" s="6"/>
      <c r="CX429" s="6"/>
      <c r="CY429" s="6"/>
      <c r="CZ429" s="6"/>
      <c r="DA429" s="343">
        <f t="shared" ref="DA429" si="15">H429</f>
        <v>20</v>
      </c>
    </row>
    <row r="430" spans="1:105" ht="20" customHeight="1" x14ac:dyDescent="0.35">
      <c r="A430" s="301"/>
      <c r="B430" s="270" t="s">
        <v>1008</v>
      </c>
      <c r="C430" s="270" t="s">
        <v>1463</v>
      </c>
      <c r="D430" s="297" t="s">
        <v>655</v>
      </c>
      <c r="E430" s="270" t="s">
        <v>34</v>
      </c>
      <c r="F430" s="270" t="s">
        <v>1862</v>
      </c>
      <c r="G430" s="270" t="s">
        <v>36</v>
      </c>
      <c r="H430" s="298">
        <v>28</v>
      </c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7"/>
      <c r="AL430" s="288"/>
      <c r="AM430" s="287"/>
      <c r="AN430" s="287"/>
      <c r="AO430" s="287"/>
      <c r="AP430" s="286"/>
      <c r="AQ430" s="296"/>
      <c r="AR430" s="286"/>
      <c r="AS430" s="286"/>
      <c r="AT430" s="286"/>
      <c r="AU430" s="286"/>
      <c r="AV430" s="286"/>
      <c r="AW430" s="286"/>
      <c r="AX430" s="286"/>
      <c r="AY430" s="286"/>
      <c r="AZ430" s="286"/>
      <c r="BA430" s="286"/>
      <c r="BB430" s="286"/>
      <c r="BC430" s="286"/>
      <c r="BD430" s="287"/>
      <c r="BE430" s="287"/>
      <c r="BF430" s="287"/>
      <c r="BG430" s="287"/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287"/>
      <c r="BT430" s="287"/>
      <c r="BU430" s="287"/>
      <c r="BV430" s="287"/>
      <c r="BW430" s="287"/>
      <c r="BX430" s="286"/>
      <c r="BY430" s="289"/>
      <c r="BZ430" s="289"/>
      <c r="CA430" s="289"/>
      <c r="CB430" s="289"/>
      <c r="CC430" s="289"/>
      <c r="CD430" s="289"/>
      <c r="CE430" s="289"/>
      <c r="CF430" s="289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6"/>
      <c r="CT430" s="6"/>
      <c r="CU430" s="6"/>
      <c r="CV430" s="6"/>
      <c r="CW430" s="6"/>
      <c r="CX430" s="6"/>
      <c r="CY430" s="6"/>
      <c r="CZ430" s="6"/>
      <c r="DA430" s="343">
        <f t="shared" si="13"/>
        <v>28</v>
      </c>
    </row>
    <row r="431" spans="1:105" ht="20" customHeight="1" x14ac:dyDescent="0.35">
      <c r="A431" s="290"/>
      <c r="B431" s="270" t="s">
        <v>1009</v>
      </c>
      <c r="C431" s="270" t="s">
        <v>1463</v>
      </c>
      <c r="D431" s="297" t="s">
        <v>655</v>
      </c>
      <c r="E431" s="270" t="s">
        <v>398</v>
      </c>
      <c r="F431" s="270" t="s">
        <v>637</v>
      </c>
      <c r="G431" s="270" t="s">
        <v>38</v>
      </c>
      <c r="H431" s="298">
        <f>H430/6</f>
        <v>4.666666666666667</v>
      </c>
      <c r="I431" s="292">
        <v>6</v>
      </c>
      <c r="J431" s="292">
        <v>6.5</v>
      </c>
      <c r="K431" s="286"/>
      <c r="L431" s="286">
        <v>0</v>
      </c>
      <c r="M431" s="286"/>
      <c r="N431" s="292">
        <v>7</v>
      </c>
      <c r="O431" s="286">
        <v>7</v>
      </c>
      <c r="P431" s="292">
        <v>7</v>
      </c>
      <c r="Q431" s="286">
        <v>7</v>
      </c>
      <c r="R431" s="286">
        <v>7</v>
      </c>
      <c r="S431" s="286">
        <v>7</v>
      </c>
      <c r="T431" s="286">
        <v>6.5</v>
      </c>
      <c r="U431" s="286"/>
      <c r="V431" s="294"/>
      <c r="W431" s="286"/>
      <c r="X431" s="286"/>
      <c r="Y431" s="286"/>
      <c r="Z431" s="286"/>
      <c r="AA431" s="286"/>
      <c r="AB431" s="286"/>
      <c r="AC431" s="286">
        <v>7</v>
      </c>
      <c r="AD431" s="286"/>
      <c r="AE431" s="286"/>
      <c r="AF431" s="286"/>
      <c r="AG431" s="286"/>
      <c r="AH431" s="286"/>
      <c r="AI431" s="286"/>
      <c r="AJ431" s="286"/>
      <c r="AK431" s="295">
        <v>8</v>
      </c>
      <c r="AL431" s="288"/>
      <c r="AM431" s="287"/>
      <c r="AN431" s="287"/>
      <c r="AO431" s="287">
        <v>6.5</v>
      </c>
      <c r="AP431" s="286">
        <v>6.5</v>
      </c>
      <c r="AQ431" s="296">
        <v>7.5</v>
      </c>
      <c r="AR431" s="286">
        <v>6.5</v>
      </c>
      <c r="AS431" s="286"/>
      <c r="AT431" s="286">
        <v>6.5</v>
      </c>
      <c r="AU431" s="286">
        <v>6.5</v>
      </c>
      <c r="AV431" s="286">
        <v>6.5</v>
      </c>
      <c r="AW431" s="286">
        <v>6.5</v>
      </c>
      <c r="AX431" s="286">
        <v>6.5</v>
      </c>
      <c r="AY431" s="286">
        <v>6.5</v>
      </c>
      <c r="AZ431" s="286">
        <v>6.5</v>
      </c>
      <c r="BA431" s="286">
        <v>6.5</v>
      </c>
      <c r="BB431" s="286">
        <f>BA431</f>
        <v>6.5</v>
      </c>
      <c r="BC431" s="286">
        <v>6.5</v>
      </c>
      <c r="BD431" s="287"/>
      <c r="BE431" s="287"/>
      <c r="BF431" s="287"/>
      <c r="BG431" s="288">
        <v>7</v>
      </c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287"/>
      <c r="BT431" s="287"/>
      <c r="BU431" s="287">
        <v>7</v>
      </c>
      <c r="BV431" s="287"/>
      <c r="BW431" s="287"/>
      <c r="BX431" s="286">
        <v>6.5</v>
      </c>
      <c r="BY431" s="289"/>
      <c r="BZ431" s="289"/>
      <c r="CA431" s="289"/>
      <c r="CB431" s="289"/>
      <c r="CC431" s="289"/>
      <c r="CD431" s="289"/>
      <c r="CE431" s="289"/>
      <c r="CF431" s="289"/>
      <c r="CG431" s="287"/>
      <c r="CH431" s="287"/>
      <c r="CI431" s="287"/>
      <c r="CJ431" s="287"/>
      <c r="CK431" s="287"/>
      <c r="CL431" s="287"/>
      <c r="CM431" s="287"/>
      <c r="CN431" s="292">
        <v>6.5</v>
      </c>
      <c r="CO431" s="287"/>
      <c r="CP431" s="287"/>
      <c r="CQ431" s="287"/>
      <c r="CR431" s="287"/>
      <c r="CS431" s="288">
        <v>6</v>
      </c>
      <c r="CT431" s="6"/>
      <c r="CU431" s="6"/>
      <c r="CV431" s="6"/>
      <c r="CW431" s="6"/>
      <c r="CX431" s="6"/>
      <c r="CY431" s="6"/>
      <c r="CZ431" s="6"/>
      <c r="DA431" s="343">
        <f t="shared" si="13"/>
        <v>4.666666666666667</v>
      </c>
    </row>
    <row r="432" spans="1:105" ht="20" customHeight="1" x14ac:dyDescent="0.35">
      <c r="A432" s="290"/>
      <c r="B432" s="270" t="s">
        <v>1010</v>
      </c>
      <c r="C432" s="270" t="s">
        <v>254</v>
      </c>
      <c r="D432" s="297" t="s">
        <v>655</v>
      </c>
      <c r="E432" s="270" t="s">
        <v>398</v>
      </c>
      <c r="F432" s="270" t="s">
        <v>1861</v>
      </c>
      <c r="G432" s="270" t="s">
        <v>39</v>
      </c>
      <c r="H432" s="298">
        <f>H433*6</f>
        <v>75</v>
      </c>
      <c r="I432" s="292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94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7"/>
      <c r="AL432" s="288"/>
      <c r="AM432" s="287"/>
      <c r="AN432" s="287"/>
      <c r="AO432" s="287"/>
      <c r="AP432" s="286"/>
      <c r="AQ432" s="296"/>
      <c r="AR432" s="286"/>
      <c r="AS432" s="286"/>
      <c r="AT432" s="286"/>
      <c r="AU432" s="286"/>
      <c r="AV432" s="286"/>
      <c r="AW432" s="286"/>
      <c r="AX432" s="286"/>
      <c r="AY432" s="286"/>
      <c r="AZ432" s="286"/>
      <c r="BA432" s="286"/>
      <c r="BB432" s="286"/>
      <c r="BC432" s="286"/>
      <c r="BD432" s="287"/>
      <c r="BE432" s="287"/>
      <c r="BF432" s="287"/>
      <c r="BG432" s="287"/>
      <c r="BH432" s="287"/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287"/>
      <c r="BT432" s="287"/>
      <c r="BU432" s="287"/>
      <c r="BV432" s="287"/>
      <c r="BW432" s="287"/>
      <c r="BX432" s="286"/>
      <c r="BY432" s="289"/>
      <c r="BZ432" s="289"/>
      <c r="CA432" s="289"/>
      <c r="CB432" s="289"/>
      <c r="CC432" s="289"/>
      <c r="CD432" s="289"/>
      <c r="CE432" s="289"/>
      <c r="CF432" s="289"/>
      <c r="CG432" s="287"/>
      <c r="CH432" s="287"/>
      <c r="CI432" s="287"/>
      <c r="CJ432" s="287"/>
      <c r="CK432" s="287"/>
      <c r="CL432" s="287"/>
      <c r="CM432" s="287"/>
      <c r="CN432" s="287"/>
      <c r="CO432" s="287"/>
      <c r="CP432" s="287"/>
      <c r="CQ432" s="287"/>
      <c r="CR432" s="287"/>
      <c r="CS432" s="6"/>
      <c r="CT432" s="6"/>
      <c r="CU432" s="6"/>
      <c r="CV432" s="6"/>
      <c r="CW432" s="6"/>
      <c r="CX432" s="6"/>
      <c r="CY432" s="6"/>
      <c r="CZ432" s="6"/>
      <c r="DA432" s="343">
        <f t="shared" si="13"/>
        <v>75</v>
      </c>
    </row>
    <row r="433" spans="1:105" ht="20" customHeight="1" x14ac:dyDescent="0.35">
      <c r="A433" s="290">
        <v>520700</v>
      </c>
      <c r="B433" s="270" t="s">
        <v>1011</v>
      </c>
      <c r="C433" s="270" t="s">
        <v>254</v>
      </c>
      <c r="D433" s="297" t="s">
        <v>655</v>
      </c>
      <c r="E433" s="270" t="s">
        <v>398</v>
      </c>
      <c r="F433" s="270" t="s">
        <v>1860</v>
      </c>
      <c r="G433" s="270" t="s">
        <v>39</v>
      </c>
      <c r="H433" s="298">
        <v>12.5</v>
      </c>
      <c r="I433" s="292">
        <v>15.5</v>
      </c>
      <c r="J433" s="292">
        <v>15</v>
      </c>
      <c r="K433" s="300">
        <v>16.5</v>
      </c>
      <c r="L433" s="286">
        <v>16.5</v>
      </c>
      <c r="M433" s="286"/>
      <c r="N433" s="292">
        <v>16.5</v>
      </c>
      <c r="O433" s="286">
        <v>16.5</v>
      </c>
      <c r="P433" s="292">
        <v>16.5</v>
      </c>
      <c r="Q433" s="286">
        <v>16.5</v>
      </c>
      <c r="R433" s="286">
        <v>17</v>
      </c>
      <c r="S433" s="286">
        <v>18</v>
      </c>
      <c r="T433" s="286">
        <v>15</v>
      </c>
      <c r="U433" s="286"/>
      <c r="V433" s="294"/>
      <c r="W433" s="286"/>
      <c r="X433" s="286"/>
      <c r="Y433" s="286">
        <v>17</v>
      </c>
      <c r="Z433" s="286"/>
      <c r="AA433" s="286"/>
      <c r="AB433" s="286"/>
      <c r="AC433" s="286">
        <v>16.5</v>
      </c>
      <c r="AD433" s="286"/>
      <c r="AE433" s="286"/>
      <c r="AF433" s="286"/>
      <c r="AG433" s="286"/>
      <c r="AH433" s="286"/>
      <c r="AI433" s="286"/>
      <c r="AJ433" s="286"/>
      <c r="AK433" s="295">
        <v>16</v>
      </c>
      <c r="AL433" s="288"/>
      <c r="AM433" s="287"/>
      <c r="AN433" s="287"/>
      <c r="AO433" s="287"/>
      <c r="AP433" s="286">
        <v>15</v>
      </c>
      <c r="AQ433" s="296">
        <v>17</v>
      </c>
      <c r="AR433" s="286">
        <v>15</v>
      </c>
      <c r="AS433" s="286"/>
      <c r="AT433" s="286">
        <v>15</v>
      </c>
      <c r="AU433" s="286">
        <v>15</v>
      </c>
      <c r="AV433" s="286">
        <v>15</v>
      </c>
      <c r="AW433" s="286">
        <v>15</v>
      </c>
      <c r="AX433" s="286">
        <v>15</v>
      </c>
      <c r="AY433" s="286">
        <v>15</v>
      </c>
      <c r="AZ433" s="286">
        <v>15</v>
      </c>
      <c r="BA433" s="286">
        <v>15</v>
      </c>
      <c r="BB433" s="286">
        <f>BA433</f>
        <v>15</v>
      </c>
      <c r="BC433" s="286">
        <v>15</v>
      </c>
      <c r="BD433" s="287"/>
      <c r="BE433" s="286">
        <v>15</v>
      </c>
      <c r="BF433" s="287"/>
      <c r="BG433" s="288">
        <v>17</v>
      </c>
      <c r="BH433" s="286">
        <v>15</v>
      </c>
      <c r="BI433" s="287"/>
      <c r="BJ433" s="287"/>
      <c r="BK433" s="287"/>
      <c r="BL433" s="287"/>
      <c r="BM433" s="287"/>
      <c r="BN433" s="287"/>
      <c r="BO433" s="287"/>
      <c r="BP433" s="287"/>
      <c r="BQ433" s="287"/>
      <c r="BR433" s="287"/>
      <c r="BS433" s="287"/>
      <c r="BT433" s="287"/>
      <c r="BU433" s="287">
        <v>16.5</v>
      </c>
      <c r="BV433" s="287"/>
      <c r="BW433" s="287"/>
      <c r="BX433" s="286">
        <f>J433</f>
        <v>15</v>
      </c>
      <c r="BY433" s="289"/>
      <c r="BZ433" s="289">
        <v>16.5</v>
      </c>
      <c r="CA433" s="289"/>
      <c r="CB433" s="289"/>
      <c r="CC433" s="289"/>
      <c r="CD433" s="289"/>
      <c r="CE433" s="289"/>
      <c r="CF433" s="289"/>
      <c r="CG433" s="287"/>
      <c r="CH433" s="287"/>
      <c r="CI433" s="287"/>
      <c r="CJ433" s="287"/>
      <c r="CK433" s="287"/>
      <c r="CL433" s="287"/>
      <c r="CM433" s="287"/>
      <c r="CN433" s="292">
        <v>15</v>
      </c>
      <c r="CO433" s="292">
        <v>15</v>
      </c>
      <c r="CP433" s="287"/>
      <c r="CQ433" s="287">
        <v>16.5</v>
      </c>
      <c r="CR433" s="292">
        <v>15</v>
      </c>
      <c r="CS433" s="6"/>
      <c r="CT433" s="6"/>
      <c r="CU433" s="6"/>
      <c r="CV433" s="6"/>
      <c r="CW433" s="6"/>
      <c r="CX433" s="6"/>
      <c r="CY433" s="6"/>
      <c r="CZ433" s="6"/>
      <c r="DA433" s="343">
        <f t="shared" si="13"/>
        <v>12.5</v>
      </c>
    </row>
    <row r="434" spans="1:105" ht="20" customHeight="1" x14ac:dyDescent="0.35">
      <c r="A434" s="290" t="s">
        <v>2103</v>
      </c>
      <c r="B434" s="270" t="s">
        <v>1011</v>
      </c>
      <c r="C434" s="270" t="s">
        <v>254</v>
      </c>
      <c r="D434" s="297" t="s">
        <v>655</v>
      </c>
      <c r="E434" s="270" t="s">
        <v>398</v>
      </c>
      <c r="F434" s="270" t="s">
        <v>1860</v>
      </c>
      <c r="G434" s="270" t="s">
        <v>39</v>
      </c>
      <c r="H434" s="298">
        <v>12.5</v>
      </c>
      <c r="I434" s="292"/>
      <c r="J434" s="292"/>
      <c r="K434" s="300"/>
      <c r="L434" s="286"/>
      <c r="M434" s="286"/>
      <c r="N434" s="292"/>
      <c r="O434" s="286"/>
      <c r="P434" s="292"/>
      <c r="Q434" s="286"/>
      <c r="R434" s="286"/>
      <c r="S434" s="286"/>
      <c r="T434" s="286"/>
      <c r="U434" s="286"/>
      <c r="V434" s="294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95"/>
      <c r="AL434" s="288"/>
      <c r="AM434" s="287"/>
      <c r="AN434" s="287"/>
      <c r="AO434" s="287"/>
      <c r="AP434" s="286"/>
      <c r="AQ434" s="29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7"/>
      <c r="BE434" s="286"/>
      <c r="BF434" s="287"/>
      <c r="BG434" s="288"/>
      <c r="BH434" s="286"/>
      <c r="BI434" s="287"/>
      <c r="BJ434" s="287"/>
      <c r="BK434" s="287"/>
      <c r="BL434" s="287"/>
      <c r="BM434" s="287"/>
      <c r="BN434" s="287"/>
      <c r="BO434" s="287"/>
      <c r="BP434" s="287"/>
      <c r="BQ434" s="287"/>
      <c r="BR434" s="287"/>
      <c r="BS434" s="287"/>
      <c r="BT434" s="287"/>
      <c r="BU434" s="287"/>
      <c r="BV434" s="287"/>
      <c r="BW434" s="287"/>
      <c r="BX434" s="286"/>
      <c r="BY434" s="289"/>
      <c r="BZ434" s="289"/>
      <c r="CA434" s="289"/>
      <c r="CB434" s="289"/>
      <c r="CC434" s="289"/>
      <c r="CD434" s="289"/>
      <c r="CE434" s="289"/>
      <c r="CF434" s="289"/>
      <c r="CG434" s="287"/>
      <c r="CH434" s="287"/>
      <c r="CI434" s="287"/>
      <c r="CJ434" s="287"/>
      <c r="CK434" s="287"/>
      <c r="CL434" s="287"/>
      <c r="CM434" s="287"/>
      <c r="CN434" s="292"/>
      <c r="CO434" s="292"/>
      <c r="CP434" s="287"/>
      <c r="CQ434" s="287">
        <v>16.5</v>
      </c>
      <c r="CR434" s="292"/>
      <c r="CS434" s="6"/>
      <c r="CT434" s="6"/>
      <c r="CU434" s="6"/>
      <c r="CV434" s="6"/>
      <c r="CW434" s="6"/>
      <c r="CX434" s="6"/>
      <c r="CY434" s="6"/>
      <c r="CZ434" s="6"/>
      <c r="DA434" s="343">
        <f>H434</f>
        <v>12.5</v>
      </c>
    </row>
    <row r="435" spans="1:105" ht="20" customHeight="1" x14ac:dyDescent="0.35">
      <c r="A435" s="290"/>
      <c r="B435" s="270" t="s">
        <v>1309</v>
      </c>
      <c r="C435" s="270" t="s">
        <v>254</v>
      </c>
      <c r="D435" s="297" t="s">
        <v>655</v>
      </c>
      <c r="E435" s="270" t="s">
        <v>655</v>
      </c>
      <c r="F435" s="270" t="s">
        <v>1860</v>
      </c>
      <c r="G435" s="270" t="s">
        <v>39</v>
      </c>
      <c r="H435" s="298">
        <v>0</v>
      </c>
      <c r="I435" s="292"/>
      <c r="J435" s="286"/>
      <c r="K435" s="300"/>
      <c r="L435" s="286"/>
      <c r="M435" s="286"/>
      <c r="N435" s="292"/>
      <c r="O435" s="286"/>
      <c r="P435" s="292"/>
      <c r="Q435" s="286"/>
      <c r="R435" s="286"/>
      <c r="S435" s="286"/>
      <c r="T435" s="286"/>
      <c r="U435" s="286"/>
      <c r="V435" s="294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7"/>
      <c r="AL435" s="288"/>
      <c r="AM435" s="287"/>
      <c r="AN435" s="287"/>
      <c r="AO435" s="287"/>
      <c r="AP435" s="286"/>
      <c r="AQ435" s="296"/>
      <c r="AR435" s="286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  <c r="BD435" s="287"/>
      <c r="BE435" s="287"/>
      <c r="BF435" s="287"/>
      <c r="BG435" s="287"/>
      <c r="BH435" s="287"/>
      <c r="BI435" s="287"/>
      <c r="BJ435" s="287"/>
      <c r="BK435" s="287"/>
      <c r="BL435" s="287"/>
      <c r="BM435" s="287"/>
      <c r="BN435" s="287"/>
      <c r="BO435" s="287"/>
      <c r="BP435" s="287"/>
      <c r="BQ435" s="287"/>
      <c r="BR435" s="287"/>
      <c r="BS435" s="287"/>
      <c r="BT435" s="287"/>
      <c r="BU435" s="287"/>
      <c r="BV435" s="287"/>
      <c r="BW435" s="287"/>
      <c r="BX435" s="286">
        <v>15</v>
      </c>
      <c r="BY435" s="289"/>
      <c r="BZ435" s="289"/>
      <c r="CA435" s="289"/>
      <c r="CB435" s="289"/>
      <c r="CC435" s="289"/>
      <c r="CD435" s="289"/>
      <c r="CE435" s="289"/>
      <c r="CF435" s="289"/>
      <c r="CG435" s="287"/>
      <c r="CH435" s="287"/>
      <c r="CI435" s="287"/>
      <c r="CJ435" s="287"/>
      <c r="CK435" s="287"/>
      <c r="CL435" s="287"/>
      <c r="CM435" s="287"/>
      <c r="CN435" s="287"/>
      <c r="CO435" s="287"/>
      <c r="CP435" s="287"/>
      <c r="CQ435" s="287"/>
      <c r="CR435" s="287"/>
      <c r="CS435" s="326">
        <v>15</v>
      </c>
      <c r="CT435" s="6"/>
      <c r="CU435" s="6"/>
      <c r="CV435" s="6"/>
      <c r="CW435" s="6"/>
      <c r="CX435" s="6"/>
      <c r="CY435" s="6"/>
      <c r="CZ435" s="6"/>
      <c r="DA435" s="343">
        <f t="shared" si="13"/>
        <v>0</v>
      </c>
    </row>
    <row r="436" spans="1:105" ht="20" customHeight="1" x14ac:dyDescent="0.35">
      <c r="A436" s="290"/>
      <c r="B436" s="306" t="s">
        <v>1669</v>
      </c>
      <c r="C436" s="270" t="s">
        <v>254</v>
      </c>
      <c r="D436" s="270" t="s">
        <v>655</v>
      </c>
      <c r="E436" s="270" t="s">
        <v>398</v>
      </c>
      <c r="F436" s="270" t="s">
        <v>66</v>
      </c>
      <c r="G436" s="270" t="s">
        <v>39</v>
      </c>
      <c r="H436" s="298">
        <v>2</v>
      </c>
      <c r="I436" s="292"/>
      <c r="J436" s="286"/>
      <c r="K436" s="300"/>
      <c r="L436" s="286"/>
      <c r="M436" s="286"/>
      <c r="N436" s="292"/>
      <c r="O436" s="286"/>
      <c r="P436" s="292"/>
      <c r="Q436" s="286"/>
      <c r="R436" s="286"/>
      <c r="S436" s="286"/>
      <c r="T436" s="286"/>
      <c r="U436" s="286"/>
      <c r="V436" s="294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7"/>
      <c r="AL436" s="288"/>
      <c r="AM436" s="287"/>
      <c r="AN436" s="287"/>
      <c r="AO436" s="287"/>
      <c r="AP436" s="286"/>
      <c r="AQ436" s="296"/>
      <c r="AR436" s="286"/>
      <c r="AS436" s="286"/>
      <c r="AT436" s="286"/>
      <c r="AU436" s="286"/>
      <c r="AV436" s="286"/>
      <c r="AW436" s="286"/>
      <c r="AX436" s="286"/>
      <c r="AY436" s="286"/>
      <c r="AZ436" s="286"/>
      <c r="BA436" s="286"/>
      <c r="BB436" s="286"/>
      <c r="BC436" s="286"/>
      <c r="BD436" s="287"/>
      <c r="BE436" s="287"/>
      <c r="BF436" s="287"/>
      <c r="BG436" s="287"/>
      <c r="BH436" s="287"/>
      <c r="BI436" s="287"/>
      <c r="BJ436" s="287"/>
      <c r="BK436" s="287"/>
      <c r="BL436" s="287"/>
      <c r="BM436" s="287"/>
      <c r="BN436" s="287"/>
      <c r="BO436" s="287"/>
      <c r="BP436" s="287"/>
      <c r="BQ436" s="287"/>
      <c r="BR436" s="287"/>
      <c r="BS436" s="287"/>
      <c r="BT436" s="287"/>
      <c r="BU436" s="287"/>
      <c r="BV436" s="287"/>
      <c r="BW436" s="287"/>
      <c r="BX436" s="286"/>
      <c r="BY436" s="289"/>
      <c r="BZ436" s="289"/>
      <c r="CA436" s="289"/>
      <c r="CB436" s="289"/>
      <c r="CC436" s="289"/>
      <c r="CD436" s="289"/>
      <c r="CE436" s="289"/>
      <c r="CF436" s="289"/>
      <c r="CG436" s="287"/>
      <c r="CH436" s="287"/>
      <c r="CI436" s="287"/>
      <c r="CJ436" s="287"/>
      <c r="CK436" s="287"/>
      <c r="CL436" s="287"/>
      <c r="CM436" s="287"/>
      <c r="CN436" s="287"/>
      <c r="CO436" s="287"/>
      <c r="CP436" s="287"/>
      <c r="CQ436" s="287"/>
      <c r="CR436" s="287"/>
      <c r="CS436" s="327"/>
      <c r="CT436" s="6"/>
      <c r="CU436" s="6"/>
      <c r="CV436" s="6"/>
      <c r="CW436" s="6"/>
      <c r="CX436" s="6"/>
      <c r="CY436" s="6"/>
      <c r="CZ436" s="6"/>
      <c r="DA436" s="343">
        <f t="shared" si="13"/>
        <v>2</v>
      </c>
    </row>
    <row r="437" spans="1:105" ht="20" customHeight="1" x14ac:dyDescent="0.35">
      <c r="A437" s="290"/>
      <c r="B437" s="270" t="s">
        <v>1012</v>
      </c>
      <c r="C437" s="270" t="s">
        <v>255</v>
      </c>
      <c r="D437" s="297" t="s">
        <v>655</v>
      </c>
      <c r="E437" s="270" t="s">
        <v>398</v>
      </c>
      <c r="F437" s="270" t="s">
        <v>1861</v>
      </c>
      <c r="G437" s="270" t="s">
        <v>39</v>
      </c>
      <c r="H437" s="298">
        <f>H438*6</f>
        <v>75</v>
      </c>
      <c r="I437" s="292"/>
      <c r="J437" s="286"/>
      <c r="K437" s="300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94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7"/>
      <c r="AL437" s="288"/>
      <c r="AM437" s="287"/>
      <c r="AN437" s="287"/>
      <c r="AO437" s="287"/>
      <c r="AP437" s="286"/>
      <c r="AQ437" s="296"/>
      <c r="AR437" s="286"/>
      <c r="AS437" s="286"/>
      <c r="AT437" s="286"/>
      <c r="AU437" s="286"/>
      <c r="AV437" s="286"/>
      <c r="AW437" s="286"/>
      <c r="AX437" s="286"/>
      <c r="AY437" s="286"/>
      <c r="AZ437" s="286"/>
      <c r="BA437" s="286"/>
      <c r="BB437" s="286"/>
      <c r="BC437" s="286"/>
      <c r="BD437" s="287"/>
      <c r="BE437" s="287"/>
      <c r="BF437" s="287"/>
      <c r="BG437" s="287"/>
      <c r="BH437" s="287"/>
      <c r="BI437" s="287"/>
      <c r="BJ437" s="287"/>
      <c r="BK437" s="287"/>
      <c r="BL437" s="287"/>
      <c r="BM437" s="287"/>
      <c r="BN437" s="287"/>
      <c r="BO437" s="287"/>
      <c r="BP437" s="287"/>
      <c r="BQ437" s="287"/>
      <c r="BR437" s="287"/>
      <c r="BS437" s="287"/>
      <c r="BT437" s="287"/>
      <c r="BU437" s="287"/>
      <c r="BV437" s="287"/>
      <c r="BW437" s="287"/>
      <c r="BX437" s="286"/>
      <c r="BY437" s="289"/>
      <c r="BZ437" s="289"/>
      <c r="CA437" s="289"/>
      <c r="CB437" s="289"/>
      <c r="CC437" s="289"/>
      <c r="CD437" s="289"/>
      <c r="CE437" s="289"/>
      <c r="CF437" s="289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6"/>
      <c r="CT437" s="6"/>
      <c r="CU437" s="6"/>
      <c r="CV437" s="6"/>
      <c r="CW437" s="6"/>
      <c r="CX437" s="6"/>
      <c r="CY437" s="6"/>
      <c r="CZ437" s="6"/>
      <c r="DA437" s="343">
        <f t="shared" si="13"/>
        <v>75</v>
      </c>
    </row>
    <row r="438" spans="1:105" ht="20" customHeight="1" x14ac:dyDescent="0.35">
      <c r="A438" s="290">
        <v>520749</v>
      </c>
      <c r="B438" s="270" t="s">
        <v>1013</v>
      </c>
      <c r="C438" s="270" t="s">
        <v>255</v>
      </c>
      <c r="D438" s="297" t="s">
        <v>655</v>
      </c>
      <c r="E438" s="270" t="s">
        <v>398</v>
      </c>
      <c r="F438" s="270" t="s">
        <v>1860</v>
      </c>
      <c r="G438" s="270" t="s">
        <v>39</v>
      </c>
      <c r="H438" s="298">
        <v>12.5</v>
      </c>
      <c r="I438" s="292">
        <v>15.5</v>
      </c>
      <c r="J438" s="292">
        <v>16.5</v>
      </c>
      <c r="K438" s="300">
        <v>13</v>
      </c>
      <c r="L438" s="286">
        <v>13</v>
      </c>
      <c r="M438" s="286"/>
      <c r="N438" s="286">
        <v>16.5</v>
      </c>
      <c r="O438" s="286">
        <v>16.5</v>
      </c>
      <c r="P438" s="292">
        <v>16.5</v>
      </c>
      <c r="Q438" s="286">
        <v>18</v>
      </c>
      <c r="R438" s="286">
        <v>17</v>
      </c>
      <c r="S438" s="286">
        <v>18</v>
      </c>
      <c r="T438" s="286">
        <v>16.5</v>
      </c>
      <c r="U438" s="286"/>
      <c r="V438" s="294"/>
      <c r="W438" s="286"/>
      <c r="X438" s="286"/>
      <c r="Y438" s="286"/>
      <c r="Z438" s="286"/>
      <c r="AA438" s="286"/>
      <c r="AB438" s="286"/>
      <c r="AC438" s="286">
        <v>17.5</v>
      </c>
      <c r="AD438" s="286"/>
      <c r="AE438" s="286"/>
      <c r="AF438" s="286"/>
      <c r="AG438" s="286">
        <v>17</v>
      </c>
      <c r="AH438" s="286"/>
      <c r="AI438" s="286"/>
      <c r="AJ438" s="286"/>
      <c r="AK438" s="295">
        <v>16</v>
      </c>
      <c r="AL438" s="288"/>
      <c r="AM438" s="287"/>
      <c r="AN438" s="287"/>
      <c r="AO438" s="287"/>
      <c r="AP438" s="286">
        <v>16.5</v>
      </c>
      <c r="AQ438" s="296">
        <v>17</v>
      </c>
      <c r="AR438" s="286">
        <v>16.5</v>
      </c>
      <c r="AS438" s="286"/>
      <c r="AT438" s="286">
        <v>16.5</v>
      </c>
      <c r="AU438" s="286">
        <v>16.5</v>
      </c>
      <c r="AV438" s="286">
        <v>16.5</v>
      </c>
      <c r="AW438" s="286">
        <v>16.5</v>
      </c>
      <c r="AX438" s="286">
        <v>16.5</v>
      </c>
      <c r="AY438" s="286">
        <v>16.5</v>
      </c>
      <c r="AZ438" s="286">
        <v>16.5</v>
      </c>
      <c r="BA438" s="286">
        <v>16.5</v>
      </c>
      <c r="BB438" s="286">
        <f>BA438</f>
        <v>16.5</v>
      </c>
      <c r="BC438" s="286">
        <v>16.5</v>
      </c>
      <c r="BD438" s="287"/>
      <c r="BE438" s="287"/>
      <c r="BF438" s="287"/>
      <c r="BG438" s="288">
        <v>17</v>
      </c>
      <c r="BH438" s="287"/>
      <c r="BI438" s="287"/>
      <c r="BJ438" s="287"/>
      <c r="BK438" s="287"/>
      <c r="BL438" s="287"/>
      <c r="BM438" s="287"/>
      <c r="BN438" s="287"/>
      <c r="BO438" s="287"/>
      <c r="BP438" s="287"/>
      <c r="BQ438" s="287"/>
      <c r="BR438" s="287"/>
      <c r="BS438" s="287"/>
      <c r="BT438" s="287"/>
      <c r="BU438" s="287"/>
      <c r="BV438" s="287"/>
      <c r="BW438" s="287"/>
      <c r="BX438" s="286">
        <v>16.5</v>
      </c>
      <c r="BY438" s="289"/>
      <c r="BZ438" s="289">
        <v>16.5</v>
      </c>
      <c r="CA438" s="289"/>
      <c r="CB438" s="289"/>
      <c r="CC438" s="289"/>
      <c r="CD438" s="289"/>
      <c r="CE438" s="289"/>
      <c r="CF438" s="289"/>
      <c r="CG438" s="287"/>
      <c r="CH438" s="287"/>
      <c r="CI438" s="287"/>
      <c r="CJ438" s="287"/>
      <c r="CK438" s="287"/>
      <c r="CL438" s="287"/>
      <c r="CM438" s="287"/>
      <c r="CN438" s="287"/>
      <c r="CO438" s="287"/>
      <c r="CP438" s="287"/>
      <c r="CQ438" s="287"/>
      <c r="CR438" s="292">
        <v>16.5</v>
      </c>
      <c r="CS438" s="326">
        <v>15</v>
      </c>
      <c r="CT438" s="6"/>
      <c r="CU438" s="6"/>
      <c r="CV438" s="6"/>
      <c r="CW438" s="6"/>
      <c r="CX438" s="6"/>
      <c r="CY438" s="6"/>
      <c r="CZ438" s="6"/>
      <c r="DA438" s="343">
        <f t="shared" si="13"/>
        <v>12.5</v>
      </c>
    </row>
    <row r="439" spans="1:105" ht="20" customHeight="1" x14ac:dyDescent="0.35">
      <c r="A439" s="290"/>
      <c r="B439" s="270"/>
      <c r="C439" s="270"/>
      <c r="D439" s="270"/>
      <c r="E439" s="270"/>
      <c r="F439" s="270"/>
      <c r="G439" s="270"/>
      <c r="H439" s="298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94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7"/>
      <c r="AL439" s="288"/>
      <c r="AM439" s="287"/>
      <c r="AN439" s="287"/>
      <c r="AO439" s="287"/>
      <c r="AP439" s="286"/>
      <c r="AQ439" s="29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  <c r="BD439" s="287"/>
      <c r="BE439" s="287"/>
      <c r="BF439" s="287"/>
      <c r="BG439" s="287"/>
      <c r="BH439" s="287"/>
      <c r="BI439" s="287"/>
      <c r="BJ439" s="287"/>
      <c r="BK439" s="287"/>
      <c r="BL439" s="287"/>
      <c r="BM439" s="287"/>
      <c r="BN439" s="287"/>
      <c r="BO439" s="287"/>
      <c r="BP439" s="287"/>
      <c r="BQ439" s="287"/>
      <c r="BR439" s="287"/>
      <c r="BS439" s="287"/>
      <c r="BT439" s="287"/>
      <c r="BU439" s="287"/>
      <c r="BV439" s="287"/>
      <c r="BW439" s="287"/>
      <c r="BX439" s="286"/>
      <c r="BY439" s="289"/>
      <c r="BZ439" s="289"/>
      <c r="CA439" s="289"/>
      <c r="CB439" s="289"/>
      <c r="CC439" s="289"/>
      <c r="CD439" s="289"/>
      <c r="CE439" s="289"/>
      <c r="CF439" s="289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6"/>
      <c r="CT439" s="6"/>
      <c r="CU439" s="6"/>
      <c r="CV439" s="6"/>
      <c r="CW439" s="6"/>
      <c r="CX439" s="6"/>
      <c r="CY439" s="6"/>
      <c r="CZ439" s="6"/>
      <c r="DA439" s="343">
        <f t="shared" si="13"/>
        <v>0</v>
      </c>
    </row>
    <row r="440" spans="1:105" ht="20" customHeight="1" x14ac:dyDescent="0.35">
      <c r="A440" s="290"/>
      <c r="B440" s="270" t="s">
        <v>1319</v>
      </c>
      <c r="C440" s="270" t="s">
        <v>255</v>
      </c>
      <c r="D440" s="270" t="s">
        <v>655</v>
      </c>
      <c r="E440" s="270" t="s">
        <v>398</v>
      </c>
      <c r="F440" s="270" t="s">
        <v>637</v>
      </c>
      <c r="G440" s="270" t="s">
        <v>39</v>
      </c>
      <c r="H440" s="298">
        <f>H438/2</f>
        <v>6.25</v>
      </c>
      <c r="I440" s="286"/>
      <c r="J440" s="286"/>
      <c r="K440" s="286"/>
      <c r="L440" s="286"/>
      <c r="M440" s="286"/>
      <c r="N440" s="286">
        <v>8.5</v>
      </c>
      <c r="O440" s="286"/>
      <c r="P440" s="286"/>
      <c r="Q440" s="286"/>
      <c r="R440" s="286"/>
      <c r="S440" s="286"/>
      <c r="T440" s="286"/>
      <c r="U440" s="286"/>
      <c r="V440" s="294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7"/>
      <c r="AL440" s="288"/>
      <c r="AM440" s="287"/>
      <c r="AN440" s="287"/>
      <c r="AO440" s="287"/>
      <c r="AP440" s="286"/>
      <c r="AQ440" s="296"/>
      <c r="AR440" s="286"/>
      <c r="AS440" s="286"/>
      <c r="AT440" s="286"/>
      <c r="AU440" s="286"/>
      <c r="AV440" s="286"/>
      <c r="AW440" s="286"/>
      <c r="AX440" s="286"/>
      <c r="AY440" s="286"/>
      <c r="AZ440" s="286"/>
      <c r="BA440" s="286"/>
      <c r="BB440" s="286"/>
      <c r="BC440" s="286"/>
      <c r="BD440" s="287"/>
      <c r="BE440" s="287"/>
      <c r="BF440" s="287"/>
      <c r="BG440" s="287"/>
      <c r="BH440" s="287"/>
      <c r="BI440" s="287"/>
      <c r="BJ440" s="287"/>
      <c r="BK440" s="287"/>
      <c r="BL440" s="287"/>
      <c r="BM440" s="287"/>
      <c r="BN440" s="287"/>
      <c r="BO440" s="287"/>
      <c r="BP440" s="287"/>
      <c r="BQ440" s="287"/>
      <c r="BR440" s="287"/>
      <c r="BS440" s="287"/>
      <c r="BT440" s="287"/>
      <c r="BU440" s="287"/>
      <c r="BV440" s="287"/>
      <c r="BW440" s="287"/>
      <c r="BX440" s="286"/>
      <c r="BY440" s="289"/>
      <c r="BZ440" s="289"/>
      <c r="CA440" s="289"/>
      <c r="CB440" s="289"/>
      <c r="CC440" s="289"/>
      <c r="CD440" s="289"/>
      <c r="CE440" s="289"/>
      <c r="CF440" s="289"/>
      <c r="CG440" s="287"/>
      <c r="CH440" s="287"/>
      <c r="CI440" s="287"/>
      <c r="CJ440" s="287"/>
      <c r="CK440" s="287"/>
      <c r="CL440" s="287"/>
      <c r="CM440" s="287"/>
      <c r="CN440" s="287"/>
      <c r="CO440" s="287"/>
      <c r="CP440" s="287"/>
      <c r="CQ440" s="287"/>
      <c r="CR440" s="287"/>
      <c r="CS440" s="6"/>
      <c r="CT440" s="6"/>
      <c r="CU440" s="6"/>
      <c r="CV440" s="6"/>
      <c r="CW440" s="6"/>
      <c r="CX440" s="6"/>
      <c r="CY440" s="6"/>
      <c r="CZ440" s="6"/>
      <c r="DA440" s="343">
        <f t="shared" si="13"/>
        <v>6.25</v>
      </c>
    </row>
    <row r="441" spans="1:105" ht="20" customHeight="1" x14ac:dyDescent="0.35">
      <c r="A441" s="290"/>
      <c r="B441" s="270" t="s">
        <v>1014</v>
      </c>
      <c r="C441" s="270" t="s">
        <v>256</v>
      </c>
      <c r="D441" s="270" t="s">
        <v>655</v>
      </c>
      <c r="E441" s="270" t="s">
        <v>1675</v>
      </c>
      <c r="F441" s="270" t="s">
        <v>443</v>
      </c>
      <c r="G441" s="270" t="s">
        <v>544</v>
      </c>
      <c r="H441" s="345">
        <v>24.5</v>
      </c>
      <c r="I441" s="286">
        <v>29.5</v>
      </c>
      <c r="J441" s="286"/>
      <c r="K441" s="286"/>
      <c r="L441" s="286"/>
      <c r="M441" s="286"/>
      <c r="N441" s="292">
        <v>31.5</v>
      </c>
      <c r="O441" s="286">
        <v>31.5</v>
      </c>
      <c r="P441" s="300">
        <v>31.5</v>
      </c>
      <c r="Q441" s="286"/>
      <c r="R441" s="300">
        <v>31.5</v>
      </c>
      <c r="S441" s="286"/>
      <c r="T441" s="286"/>
      <c r="U441" s="286"/>
      <c r="V441" s="294"/>
      <c r="W441" s="286"/>
      <c r="X441" s="286"/>
      <c r="Y441" s="286"/>
      <c r="Z441" s="300">
        <v>31.5</v>
      </c>
      <c r="AA441" s="286"/>
      <c r="AB441" s="286"/>
      <c r="AC441" s="300">
        <v>31.5</v>
      </c>
      <c r="AD441" s="286"/>
      <c r="AE441" s="286">
        <v>31.5</v>
      </c>
      <c r="AF441" s="300"/>
      <c r="AG441" s="286"/>
      <c r="AH441" s="286"/>
      <c r="AI441" s="286"/>
      <c r="AJ441" s="286"/>
      <c r="AK441" s="295">
        <v>31.5</v>
      </c>
      <c r="AL441" s="288"/>
      <c r="AM441" s="287">
        <v>31.5</v>
      </c>
      <c r="AN441" s="287"/>
      <c r="AO441" s="287"/>
      <c r="AP441" s="286"/>
      <c r="AQ441" s="296">
        <v>31.5</v>
      </c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  <c r="BD441" s="287"/>
      <c r="BE441" s="287"/>
      <c r="BF441" s="287"/>
      <c r="BG441" s="288">
        <v>33</v>
      </c>
      <c r="BH441" s="287"/>
      <c r="BI441" s="287"/>
      <c r="BJ441" s="287"/>
      <c r="BK441" s="287"/>
      <c r="BL441" s="287"/>
      <c r="BM441" s="287"/>
      <c r="BN441" s="287"/>
      <c r="BO441" s="287"/>
      <c r="BP441" s="287"/>
      <c r="BQ441" s="287"/>
      <c r="BR441" s="287"/>
      <c r="BS441" s="287"/>
      <c r="BT441" s="287"/>
      <c r="BU441" s="287">
        <v>32</v>
      </c>
      <c r="BV441" s="287"/>
      <c r="BW441" s="287"/>
      <c r="BX441" s="286"/>
      <c r="BY441" s="289"/>
      <c r="BZ441" s="289">
        <v>32</v>
      </c>
      <c r="CA441" s="289"/>
      <c r="CB441" s="289"/>
      <c r="CC441" s="289"/>
      <c r="CD441" s="289"/>
      <c r="CE441" s="289"/>
      <c r="CF441" s="289"/>
      <c r="CG441" s="287"/>
      <c r="CH441" s="287"/>
      <c r="CI441" s="287"/>
      <c r="CJ441" s="287"/>
      <c r="CK441" s="287"/>
      <c r="CL441" s="287"/>
      <c r="CM441" s="287"/>
      <c r="CN441" s="287"/>
      <c r="CO441" s="287"/>
      <c r="CP441" s="287"/>
      <c r="CQ441" s="287"/>
      <c r="CR441" s="287"/>
      <c r="CS441" s="6"/>
      <c r="CT441" s="6"/>
      <c r="CU441" s="6"/>
      <c r="CV441" s="6"/>
      <c r="CW441" s="6"/>
      <c r="CX441" s="6"/>
      <c r="CY441" s="6"/>
      <c r="CZ441" s="6"/>
      <c r="DA441" s="343">
        <f t="shared" si="13"/>
        <v>24.5</v>
      </c>
    </row>
    <row r="442" spans="1:105" ht="20" customHeight="1" x14ac:dyDescent="0.35">
      <c r="A442" s="290" t="s">
        <v>2144</v>
      </c>
      <c r="B442" s="270" t="s">
        <v>1716</v>
      </c>
      <c r="C442" s="270" t="s">
        <v>256</v>
      </c>
      <c r="D442" s="297" t="s">
        <v>655</v>
      </c>
      <c r="E442" s="270" t="s">
        <v>1675</v>
      </c>
      <c r="F442" s="270" t="s">
        <v>636</v>
      </c>
      <c r="G442" s="270" t="s">
        <v>39</v>
      </c>
      <c r="H442" s="298">
        <f>H441/25*5</f>
        <v>4.9000000000000004</v>
      </c>
      <c r="I442" s="292">
        <v>6.8</v>
      </c>
      <c r="J442" s="286"/>
      <c r="K442" s="286"/>
      <c r="L442" s="286">
        <v>8</v>
      </c>
      <c r="M442" s="286"/>
      <c r="N442" s="286"/>
      <c r="O442" s="286"/>
      <c r="P442" s="286"/>
      <c r="Q442" s="286"/>
      <c r="R442" s="286"/>
      <c r="S442" s="286"/>
      <c r="T442" s="286"/>
      <c r="U442" s="286"/>
      <c r="V442" s="294"/>
      <c r="W442" s="286"/>
      <c r="X442" s="286"/>
      <c r="Y442" s="286"/>
      <c r="Z442" s="286"/>
      <c r="AA442" s="286"/>
      <c r="AB442" s="289">
        <v>6.8</v>
      </c>
      <c r="AC442" s="286"/>
      <c r="AD442" s="289"/>
      <c r="AE442" s="286"/>
      <c r="AF442" s="286"/>
      <c r="AG442" s="286"/>
      <c r="AH442" s="286"/>
      <c r="AI442" s="286"/>
      <c r="AJ442" s="286"/>
      <c r="AK442" s="295">
        <v>6.5</v>
      </c>
      <c r="AL442" s="288"/>
      <c r="AM442" s="287"/>
      <c r="AN442" s="287"/>
      <c r="AO442" s="287"/>
      <c r="AP442" s="286"/>
      <c r="AQ442" s="29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  <c r="BD442" s="287"/>
      <c r="BE442" s="287"/>
      <c r="BF442" s="287"/>
      <c r="BG442" s="288">
        <v>6.8</v>
      </c>
      <c r="BH442" s="287"/>
      <c r="BI442" s="287"/>
      <c r="BJ442" s="287"/>
      <c r="BK442" s="287"/>
      <c r="BL442" s="287"/>
      <c r="BM442" s="287"/>
      <c r="BN442" s="287"/>
      <c r="BO442" s="287"/>
      <c r="BP442" s="287"/>
      <c r="BQ442" s="287"/>
      <c r="BR442" s="287"/>
      <c r="BS442" s="287"/>
      <c r="BT442" s="287"/>
      <c r="BU442" s="287"/>
      <c r="BV442" s="287"/>
      <c r="BW442" s="287"/>
      <c r="BX442" s="286"/>
      <c r="BY442" s="289">
        <v>7.5</v>
      </c>
      <c r="BZ442" s="289"/>
      <c r="CA442" s="289"/>
      <c r="CB442" s="289"/>
      <c r="CC442" s="289"/>
      <c r="CD442" s="289"/>
      <c r="CE442" s="289"/>
      <c r="CF442" s="289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287"/>
      <c r="CT442" s="6"/>
      <c r="CU442" s="6"/>
      <c r="CV442" s="6"/>
      <c r="CW442" s="6"/>
      <c r="CX442" s="6"/>
      <c r="CY442" s="6"/>
      <c r="CZ442" s="6"/>
      <c r="DA442" s="343">
        <f t="shared" si="13"/>
        <v>4.9000000000000004</v>
      </c>
    </row>
    <row r="443" spans="1:105" ht="20" customHeight="1" x14ac:dyDescent="0.35">
      <c r="A443" s="290"/>
      <c r="B443" s="270" t="s">
        <v>1717</v>
      </c>
      <c r="C443" s="270" t="s">
        <v>256</v>
      </c>
      <c r="D443" s="270"/>
      <c r="E443" s="270" t="s">
        <v>34</v>
      </c>
      <c r="F443" s="270" t="s">
        <v>1072</v>
      </c>
      <c r="G443" s="270" t="s">
        <v>39</v>
      </c>
      <c r="H443" s="298">
        <f>H441/25*2</f>
        <v>1.96</v>
      </c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94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7"/>
      <c r="AL443" s="288"/>
      <c r="AM443" s="287"/>
      <c r="AN443" s="287"/>
      <c r="AO443" s="287"/>
      <c r="AP443" s="286"/>
      <c r="AQ443" s="29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7"/>
      <c r="BE443" s="287"/>
      <c r="BF443" s="287"/>
      <c r="BG443" s="288">
        <v>2.8</v>
      </c>
      <c r="BH443" s="287"/>
      <c r="BI443" s="287"/>
      <c r="BJ443" s="287"/>
      <c r="BK443" s="287"/>
      <c r="BL443" s="287"/>
      <c r="BM443" s="287"/>
      <c r="BN443" s="287"/>
      <c r="BO443" s="287"/>
      <c r="BP443" s="287"/>
      <c r="BQ443" s="287"/>
      <c r="BR443" s="287"/>
      <c r="BS443" s="287"/>
      <c r="BT443" s="287"/>
      <c r="BU443" s="287"/>
      <c r="BV443" s="287"/>
      <c r="BW443" s="287"/>
      <c r="BX443" s="286"/>
      <c r="BY443" s="289">
        <v>2.2000000000000002</v>
      </c>
      <c r="BZ443" s="289"/>
      <c r="CA443" s="289"/>
      <c r="CB443" s="289">
        <v>2.2000000000000002</v>
      </c>
      <c r="CC443" s="289"/>
      <c r="CD443" s="289"/>
      <c r="CE443" s="289"/>
      <c r="CF443" s="289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6"/>
      <c r="CT443" s="6"/>
      <c r="CU443" s="6"/>
      <c r="CV443" s="6"/>
      <c r="CW443" s="6"/>
      <c r="CX443" s="6"/>
      <c r="CY443" s="6"/>
      <c r="CZ443" s="6"/>
      <c r="DA443" s="343">
        <f t="shared" si="13"/>
        <v>1.96</v>
      </c>
    </row>
    <row r="444" spans="1:105" ht="20" customHeight="1" x14ac:dyDescent="0.35">
      <c r="A444" s="290"/>
      <c r="B444" s="270" t="s">
        <v>1718</v>
      </c>
      <c r="C444" s="270" t="s">
        <v>256</v>
      </c>
      <c r="D444" s="270"/>
      <c r="E444" s="270" t="s">
        <v>34</v>
      </c>
      <c r="F444" s="270" t="s">
        <v>66</v>
      </c>
      <c r="G444" s="270"/>
      <c r="H444" s="298">
        <f>H441/25</f>
        <v>0.98</v>
      </c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94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7"/>
      <c r="AL444" s="288"/>
      <c r="AM444" s="287"/>
      <c r="AN444" s="287"/>
      <c r="AO444" s="287"/>
      <c r="AP444" s="286"/>
      <c r="AQ444" s="29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  <c r="BD444" s="287"/>
      <c r="BE444" s="287"/>
      <c r="BF444" s="287"/>
      <c r="BG444" s="287"/>
      <c r="BH444" s="287"/>
      <c r="BI444" s="287"/>
      <c r="BJ444" s="287"/>
      <c r="BK444" s="287"/>
      <c r="BL444" s="287"/>
      <c r="BM444" s="287"/>
      <c r="BN444" s="287"/>
      <c r="BO444" s="287"/>
      <c r="BP444" s="287"/>
      <c r="BQ444" s="287"/>
      <c r="BR444" s="287"/>
      <c r="BS444" s="287"/>
      <c r="BT444" s="287"/>
      <c r="BU444" s="287"/>
      <c r="BV444" s="287"/>
      <c r="BW444" s="287"/>
      <c r="BX444" s="286"/>
      <c r="BY444" s="289"/>
      <c r="BZ444" s="289"/>
      <c r="CA444" s="289"/>
      <c r="CB444" s="289"/>
      <c r="CC444" s="289"/>
      <c r="CD444" s="289"/>
      <c r="CE444" s="289"/>
      <c r="CF444" s="289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6"/>
      <c r="CT444" s="6"/>
      <c r="CU444" s="6"/>
      <c r="CV444" s="6"/>
      <c r="CW444" s="6"/>
      <c r="CX444" s="6"/>
      <c r="CY444" s="6"/>
      <c r="CZ444" s="6"/>
      <c r="DA444" s="343">
        <f t="shared" si="13"/>
        <v>0.98</v>
      </c>
    </row>
    <row r="445" spans="1:105" ht="20" customHeight="1" x14ac:dyDescent="0.35">
      <c r="A445" s="290"/>
      <c r="B445" s="270" t="s">
        <v>1015</v>
      </c>
      <c r="C445" s="270" t="s">
        <v>256</v>
      </c>
      <c r="D445" s="270" t="s">
        <v>655</v>
      </c>
      <c r="E445" s="270" t="s">
        <v>1295</v>
      </c>
      <c r="F445" s="270" t="s">
        <v>443</v>
      </c>
      <c r="G445" s="270" t="s">
        <v>544</v>
      </c>
      <c r="H445" s="298">
        <v>0</v>
      </c>
      <c r="I445" s="286"/>
      <c r="J445" s="286"/>
      <c r="K445" s="286"/>
      <c r="L445" s="286"/>
      <c r="M445" s="286"/>
      <c r="N445" s="286"/>
      <c r="O445" s="286">
        <v>29.5</v>
      </c>
      <c r="P445" s="286"/>
      <c r="Q445" s="286"/>
      <c r="R445" s="286"/>
      <c r="S445" s="286"/>
      <c r="T445" s="286"/>
      <c r="U445" s="286"/>
      <c r="V445" s="294"/>
      <c r="W445" s="286"/>
      <c r="X445" s="286"/>
      <c r="Y445" s="286"/>
      <c r="Z445" s="286"/>
      <c r="AA445" s="286"/>
      <c r="AB445" s="286"/>
      <c r="AC445" s="286"/>
      <c r="AD445" s="286"/>
      <c r="AE445" s="286">
        <v>29</v>
      </c>
      <c r="AF445" s="286"/>
      <c r="AG445" s="286"/>
      <c r="AH445" s="286"/>
      <c r="AI445" s="286"/>
      <c r="AJ445" s="286"/>
      <c r="AK445" s="287"/>
      <c r="AL445" s="288"/>
      <c r="AM445" s="287">
        <v>28</v>
      </c>
      <c r="AN445" s="287"/>
      <c r="AO445" s="287"/>
      <c r="AP445" s="286"/>
      <c r="AQ445" s="296"/>
      <c r="AR445" s="286"/>
      <c r="AS445" s="286"/>
      <c r="AT445" s="286"/>
      <c r="AU445" s="286"/>
      <c r="AV445" s="286"/>
      <c r="AW445" s="286"/>
      <c r="AX445" s="286"/>
      <c r="AY445" s="286"/>
      <c r="AZ445" s="286"/>
      <c r="BA445" s="286"/>
      <c r="BB445" s="286"/>
      <c r="BC445" s="286"/>
      <c r="BD445" s="287"/>
      <c r="BE445" s="287"/>
      <c r="BF445" s="287"/>
      <c r="BG445" s="287"/>
      <c r="BH445" s="287"/>
      <c r="BI445" s="287"/>
      <c r="BJ445" s="287"/>
      <c r="BK445" s="287"/>
      <c r="BL445" s="287"/>
      <c r="BM445" s="287"/>
      <c r="BN445" s="287"/>
      <c r="BO445" s="287"/>
      <c r="BP445" s="287"/>
      <c r="BQ445" s="287"/>
      <c r="BR445" s="287"/>
      <c r="BS445" s="287"/>
      <c r="BT445" s="287"/>
      <c r="BU445" s="287"/>
      <c r="BV445" s="287"/>
      <c r="BW445" s="287"/>
      <c r="BX445" s="286"/>
      <c r="BY445" s="289"/>
      <c r="BZ445" s="289"/>
      <c r="CA445" s="289"/>
      <c r="CB445" s="289"/>
      <c r="CC445" s="289"/>
      <c r="CD445" s="289"/>
      <c r="CE445" s="289"/>
      <c r="CF445" s="289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87"/>
      <c r="CS445" s="6"/>
      <c r="CT445" s="6"/>
      <c r="CU445" s="6"/>
      <c r="CV445" s="6"/>
      <c r="CW445" s="6"/>
      <c r="CX445" s="6"/>
      <c r="CY445" s="6"/>
      <c r="CZ445" s="6"/>
      <c r="DA445" s="343">
        <f t="shared" si="13"/>
        <v>0</v>
      </c>
    </row>
    <row r="446" spans="1:105" ht="20" customHeight="1" x14ac:dyDescent="0.35">
      <c r="A446" s="290">
        <v>520748</v>
      </c>
      <c r="B446" s="270" t="s">
        <v>1016</v>
      </c>
      <c r="C446" s="270" t="s">
        <v>1661</v>
      </c>
      <c r="D446" s="297" t="s">
        <v>627</v>
      </c>
      <c r="E446" s="270" t="s">
        <v>627</v>
      </c>
      <c r="F446" s="270" t="s">
        <v>1859</v>
      </c>
      <c r="G446" s="270" t="s">
        <v>33</v>
      </c>
      <c r="H446" s="363">
        <v>17.8</v>
      </c>
      <c r="I446" s="286">
        <v>30</v>
      </c>
      <c r="J446" s="286"/>
      <c r="K446" s="286"/>
      <c r="L446" s="286"/>
      <c r="M446" s="286"/>
      <c r="N446" s="300"/>
      <c r="O446" s="286"/>
      <c r="P446" s="300"/>
      <c r="Q446" s="286"/>
      <c r="R446" s="286"/>
      <c r="S446" s="286"/>
      <c r="T446" s="286"/>
      <c r="U446" s="286"/>
      <c r="V446" s="294"/>
      <c r="W446" s="286"/>
      <c r="X446" s="286"/>
      <c r="Y446" s="286"/>
      <c r="Z446" s="300"/>
      <c r="AA446" s="286"/>
      <c r="AB446" s="286"/>
      <c r="AC446" s="286"/>
      <c r="AD446" s="286"/>
      <c r="AE446" s="286">
        <v>26</v>
      </c>
      <c r="AF446" s="300"/>
      <c r="AG446" s="286"/>
      <c r="AH446" s="286"/>
      <c r="AI446" s="286"/>
      <c r="AJ446" s="286"/>
      <c r="AK446" s="287"/>
      <c r="AL446" s="288"/>
      <c r="AM446" s="287"/>
      <c r="AN446" s="287"/>
      <c r="AO446" s="287"/>
      <c r="AP446" s="286"/>
      <c r="AQ446" s="296"/>
      <c r="AR446" s="286"/>
      <c r="AS446" s="286"/>
      <c r="AT446" s="286"/>
      <c r="AU446" s="286"/>
      <c r="AV446" s="286"/>
      <c r="AW446" s="286"/>
      <c r="AX446" s="286"/>
      <c r="AY446" s="286"/>
      <c r="AZ446" s="286"/>
      <c r="BA446" s="286"/>
      <c r="BB446" s="286"/>
      <c r="BC446" s="286"/>
      <c r="BD446" s="287"/>
      <c r="BE446" s="287"/>
      <c r="BF446" s="287"/>
      <c r="BG446" s="288"/>
      <c r="BH446" s="287"/>
      <c r="BI446" s="287"/>
      <c r="BJ446" s="287"/>
      <c r="BK446" s="287"/>
      <c r="BL446" s="287"/>
      <c r="BM446" s="287"/>
      <c r="BN446" s="287"/>
      <c r="BO446" s="287"/>
      <c r="BP446" s="287"/>
      <c r="BQ446" s="287"/>
      <c r="BR446" s="287"/>
      <c r="BS446" s="287"/>
      <c r="BT446" s="287"/>
      <c r="BU446" s="299"/>
      <c r="BV446" s="287"/>
      <c r="BW446" s="287"/>
      <c r="BX446" s="286"/>
      <c r="BY446" s="289"/>
      <c r="BZ446" s="289"/>
      <c r="CA446" s="289"/>
      <c r="CB446" s="289"/>
      <c r="CC446" s="289"/>
      <c r="CD446" s="289"/>
      <c r="CE446" s="289"/>
      <c r="CF446" s="289"/>
      <c r="CG446" s="287"/>
      <c r="CH446" s="287"/>
      <c r="CI446" s="287"/>
      <c r="CJ446" s="287"/>
      <c r="CK446" s="287"/>
      <c r="CL446" s="287"/>
      <c r="CM446" s="287"/>
      <c r="CN446" s="287"/>
      <c r="CO446" s="287"/>
      <c r="CP446" s="287"/>
      <c r="CQ446" s="287"/>
      <c r="CR446" s="287"/>
      <c r="CS446" s="6"/>
      <c r="CT446" s="6"/>
      <c r="CU446" s="6"/>
      <c r="CV446" s="6"/>
      <c r="CW446" s="6"/>
      <c r="CX446" s="6"/>
      <c r="CY446" s="6"/>
      <c r="CZ446" s="6"/>
      <c r="DA446" s="343">
        <f t="shared" si="13"/>
        <v>17.8</v>
      </c>
    </row>
    <row r="447" spans="1:105" ht="20" customHeight="1" x14ac:dyDescent="0.35">
      <c r="A447" s="290"/>
      <c r="B447" s="270" t="s">
        <v>1017</v>
      </c>
      <c r="C447" s="270" t="s">
        <v>1661</v>
      </c>
      <c r="D447" s="297" t="s">
        <v>330</v>
      </c>
      <c r="E447" s="270" t="s">
        <v>217</v>
      </c>
      <c r="F447" s="270" t="s">
        <v>1859</v>
      </c>
      <c r="G447" s="270" t="s">
        <v>33</v>
      </c>
      <c r="H447" s="298">
        <v>31</v>
      </c>
      <c r="I447" s="292"/>
      <c r="J447" s="286"/>
      <c r="K447" s="286"/>
      <c r="L447" s="286">
        <v>36</v>
      </c>
      <c r="M447" s="286"/>
      <c r="N447" s="292">
        <v>36</v>
      </c>
      <c r="O447" s="286">
        <v>36</v>
      </c>
      <c r="P447" s="286"/>
      <c r="Q447" s="286"/>
      <c r="R447" s="286"/>
      <c r="S447" s="286"/>
      <c r="T447" s="286"/>
      <c r="U447" s="286"/>
      <c r="V447" s="294"/>
      <c r="W447" s="286"/>
      <c r="X447" s="286"/>
      <c r="Y447" s="286"/>
      <c r="Z447" s="286">
        <v>35</v>
      </c>
      <c r="AA447" s="286"/>
      <c r="AB447" s="286"/>
      <c r="AC447" s="286">
        <v>36</v>
      </c>
      <c r="AD447" s="286"/>
      <c r="AE447" s="286"/>
      <c r="AF447" s="286"/>
      <c r="AG447" s="286"/>
      <c r="AH447" s="286"/>
      <c r="AI447" s="286"/>
      <c r="AJ447" s="286"/>
      <c r="AK447" s="287"/>
      <c r="AL447" s="288"/>
      <c r="AM447" s="287"/>
      <c r="AN447" s="287"/>
      <c r="AO447" s="287"/>
      <c r="AP447" s="286"/>
      <c r="AQ447" s="296">
        <v>37</v>
      </c>
      <c r="AR447" s="286"/>
      <c r="AS447" s="286"/>
      <c r="AT447" s="286"/>
      <c r="AU447" s="286"/>
      <c r="AV447" s="286"/>
      <c r="AW447" s="286"/>
      <c r="AX447" s="286"/>
      <c r="AY447" s="286"/>
      <c r="AZ447" s="286"/>
      <c r="BA447" s="286"/>
      <c r="BB447" s="286"/>
      <c r="BC447" s="286"/>
      <c r="BD447" s="287"/>
      <c r="BE447" s="287"/>
      <c r="BF447" s="287"/>
      <c r="BG447" s="288">
        <v>37</v>
      </c>
      <c r="BH447" s="287"/>
      <c r="BI447" s="287"/>
      <c r="BJ447" s="287"/>
      <c r="BK447" s="287"/>
      <c r="BL447" s="287"/>
      <c r="BM447" s="287"/>
      <c r="BN447" s="287"/>
      <c r="BO447" s="287"/>
      <c r="BP447" s="287"/>
      <c r="BQ447" s="287"/>
      <c r="BR447" s="287"/>
      <c r="BS447" s="287"/>
      <c r="BT447" s="287"/>
      <c r="BU447" s="287"/>
      <c r="BV447" s="287"/>
      <c r="BW447" s="287"/>
      <c r="BX447" s="286"/>
      <c r="BY447" s="289"/>
      <c r="BZ447" s="289"/>
      <c r="CA447" s="289"/>
      <c r="CB447" s="289"/>
      <c r="CC447" s="289"/>
      <c r="CD447" s="289"/>
      <c r="CE447" s="289"/>
      <c r="CF447" s="289"/>
      <c r="CG447" s="287"/>
      <c r="CH447" s="287"/>
      <c r="CI447" s="287"/>
      <c r="CJ447" s="287"/>
      <c r="CK447" s="287"/>
      <c r="CL447" s="287"/>
      <c r="CM447" s="287"/>
      <c r="CN447" s="287"/>
      <c r="CO447" s="287"/>
      <c r="CP447" s="287"/>
      <c r="CQ447" s="287"/>
      <c r="CR447" s="287"/>
      <c r="CS447" s="287"/>
      <c r="CT447" s="6"/>
      <c r="CU447" s="6"/>
      <c r="CV447" s="6"/>
      <c r="CW447" s="6"/>
      <c r="CX447" s="6"/>
      <c r="CY447" s="6"/>
      <c r="CZ447" s="6"/>
      <c r="DA447" s="343">
        <f t="shared" si="13"/>
        <v>31</v>
      </c>
    </row>
    <row r="448" spans="1:105" ht="20" customHeight="1" x14ac:dyDescent="0.35">
      <c r="A448" s="290"/>
      <c r="B448" s="270" t="s">
        <v>1018</v>
      </c>
      <c r="C448" s="270" t="s">
        <v>1661</v>
      </c>
      <c r="D448" s="297" t="s">
        <v>330</v>
      </c>
      <c r="E448" s="270" t="s">
        <v>217</v>
      </c>
      <c r="F448" s="270" t="s">
        <v>622</v>
      </c>
      <c r="G448" s="270" t="s">
        <v>44</v>
      </c>
      <c r="H448" s="298">
        <f>H447/10/2</f>
        <v>1.55</v>
      </c>
      <c r="I448" s="292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94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7"/>
      <c r="AL448" s="288"/>
      <c r="AM448" s="287"/>
      <c r="AN448" s="287"/>
      <c r="AO448" s="287"/>
      <c r="AP448" s="286"/>
      <c r="AQ448" s="296"/>
      <c r="AR448" s="286"/>
      <c r="AS448" s="286"/>
      <c r="AT448" s="286"/>
      <c r="AU448" s="286"/>
      <c r="AV448" s="286"/>
      <c r="AW448" s="286"/>
      <c r="AX448" s="286"/>
      <c r="AY448" s="286"/>
      <c r="AZ448" s="286"/>
      <c r="BA448" s="286"/>
      <c r="BB448" s="286"/>
      <c r="BC448" s="286"/>
      <c r="BD448" s="287"/>
      <c r="BE448" s="287"/>
      <c r="BF448" s="287"/>
      <c r="BG448" s="287"/>
      <c r="BH448" s="287"/>
      <c r="BI448" s="287"/>
      <c r="BJ448" s="287"/>
      <c r="BK448" s="287"/>
      <c r="BL448" s="287"/>
      <c r="BM448" s="287"/>
      <c r="BN448" s="287"/>
      <c r="BO448" s="287"/>
      <c r="BP448" s="287"/>
      <c r="BQ448" s="287"/>
      <c r="BR448" s="287"/>
      <c r="BS448" s="287"/>
      <c r="BT448" s="287"/>
      <c r="BU448" s="287"/>
      <c r="BV448" s="287"/>
      <c r="BW448" s="287"/>
      <c r="BX448" s="286"/>
      <c r="BY448" s="289"/>
      <c r="BZ448" s="289"/>
      <c r="CA448" s="289"/>
      <c r="CB448" s="289"/>
      <c r="CC448" s="289"/>
      <c r="CD448" s="289"/>
      <c r="CE448" s="289"/>
      <c r="CF448" s="289"/>
      <c r="CG448" s="287"/>
      <c r="CH448" s="287"/>
      <c r="CI448" s="287"/>
      <c r="CJ448" s="287"/>
      <c r="CK448" s="287"/>
      <c r="CL448" s="287"/>
      <c r="CM448" s="287"/>
      <c r="CN448" s="287"/>
      <c r="CO448" s="287"/>
      <c r="CP448" s="287"/>
      <c r="CQ448" s="287"/>
      <c r="CR448" s="287"/>
      <c r="CS448" s="6"/>
      <c r="CT448" s="6"/>
      <c r="CU448" s="6"/>
      <c r="CV448" s="6"/>
      <c r="CW448" s="6"/>
      <c r="CX448" s="6"/>
      <c r="CY448" s="6"/>
      <c r="CZ448" s="6"/>
      <c r="DA448" s="343">
        <f t="shared" si="13"/>
        <v>1.55</v>
      </c>
    </row>
    <row r="449" spans="1:105" ht="20" customHeight="1" x14ac:dyDescent="0.35">
      <c r="A449" s="290">
        <v>520706</v>
      </c>
      <c r="B449" s="270" t="s">
        <v>1019</v>
      </c>
      <c r="C449" s="270" t="s">
        <v>1661</v>
      </c>
      <c r="D449" s="297" t="s">
        <v>330</v>
      </c>
      <c r="E449" s="270" t="s">
        <v>87</v>
      </c>
      <c r="F449" s="270" t="s">
        <v>1859</v>
      </c>
      <c r="G449" s="270" t="s">
        <v>33</v>
      </c>
      <c r="H449" s="298">
        <v>28</v>
      </c>
      <c r="I449" s="292">
        <v>35</v>
      </c>
      <c r="J449" s="286"/>
      <c r="K449" s="286"/>
      <c r="L449" s="286"/>
      <c r="M449" s="286"/>
      <c r="N449" s="286">
        <v>35</v>
      </c>
      <c r="O449" s="286"/>
      <c r="P449" s="286"/>
      <c r="Q449" s="286"/>
      <c r="R449" s="286"/>
      <c r="S449" s="286"/>
      <c r="T449" s="286"/>
      <c r="U449" s="286"/>
      <c r="V449" s="294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95">
        <v>38</v>
      </c>
      <c r="AL449" s="288"/>
      <c r="AM449" s="287"/>
      <c r="AN449" s="287"/>
      <c r="AO449" s="287"/>
      <c r="AP449" s="286"/>
      <c r="AQ449" s="296">
        <v>38</v>
      </c>
      <c r="AR449" s="286"/>
      <c r="AS449" s="286"/>
      <c r="AT449" s="286"/>
      <c r="AU449" s="286"/>
      <c r="AV449" s="286"/>
      <c r="AW449" s="286"/>
      <c r="AX449" s="286"/>
      <c r="AY449" s="286"/>
      <c r="AZ449" s="286"/>
      <c r="BA449" s="286"/>
      <c r="BB449" s="286"/>
      <c r="BC449" s="286"/>
      <c r="BD449" s="287"/>
      <c r="BE449" s="287"/>
      <c r="BF449" s="287"/>
      <c r="BG449" s="288">
        <v>38</v>
      </c>
      <c r="BH449" s="287"/>
      <c r="BI449" s="287"/>
      <c r="BJ449" s="287"/>
      <c r="BK449" s="287"/>
      <c r="BL449" s="287"/>
      <c r="BM449" s="287"/>
      <c r="BN449" s="287"/>
      <c r="BO449" s="287"/>
      <c r="BP449" s="287"/>
      <c r="BQ449" s="287"/>
      <c r="BR449" s="287"/>
      <c r="BS449" s="287"/>
      <c r="BT449" s="287"/>
      <c r="BU449" s="287"/>
      <c r="BV449" s="287"/>
      <c r="BW449" s="287"/>
      <c r="BX449" s="286"/>
      <c r="BY449" s="289"/>
      <c r="BZ449" s="289">
        <v>0</v>
      </c>
      <c r="CA449" s="289"/>
      <c r="CB449" s="289"/>
      <c r="CC449" s="289"/>
      <c r="CD449" s="289"/>
      <c r="CE449" s="289"/>
      <c r="CF449" s="289"/>
      <c r="CG449" s="287"/>
      <c r="CH449" s="287"/>
      <c r="CI449" s="287"/>
      <c r="CJ449" s="287"/>
      <c r="CK449" s="287"/>
      <c r="CL449" s="287"/>
      <c r="CM449" s="287"/>
      <c r="CN449" s="287"/>
      <c r="CO449" s="287"/>
      <c r="CP449" s="287"/>
      <c r="CQ449" s="287">
        <v>37</v>
      </c>
      <c r="CR449" s="287"/>
      <c r="CS449" s="288">
        <v>32</v>
      </c>
      <c r="CT449" s="6"/>
      <c r="CU449" s="6"/>
      <c r="CV449" s="6"/>
      <c r="CW449" s="6"/>
      <c r="CX449" s="6"/>
      <c r="CY449" s="6"/>
      <c r="CZ449" s="6"/>
      <c r="DA449" s="343">
        <f t="shared" si="13"/>
        <v>28</v>
      </c>
    </row>
    <row r="450" spans="1:105" ht="20" customHeight="1" x14ac:dyDescent="0.35">
      <c r="A450" s="290" t="s">
        <v>2111</v>
      </c>
      <c r="B450" s="270" t="s">
        <v>1019</v>
      </c>
      <c r="C450" s="270" t="s">
        <v>1661</v>
      </c>
      <c r="D450" s="297" t="s">
        <v>330</v>
      </c>
      <c r="E450" s="270" t="s">
        <v>87</v>
      </c>
      <c r="F450" s="270" t="s">
        <v>1859</v>
      </c>
      <c r="G450" s="270" t="s">
        <v>33</v>
      </c>
      <c r="H450" s="298">
        <v>28</v>
      </c>
      <c r="I450" s="292">
        <v>35</v>
      </c>
      <c r="J450" s="286"/>
      <c r="K450" s="286"/>
      <c r="L450" s="286"/>
      <c r="M450" s="286"/>
      <c r="N450" s="286">
        <v>35</v>
      </c>
      <c r="O450" s="286"/>
      <c r="P450" s="286"/>
      <c r="Q450" s="286"/>
      <c r="R450" s="286"/>
      <c r="S450" s="286"/>
      <c r="T450" s="286"/>
      <c r="U450" s="286"/>
      <c r="V450" s="294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95">
        <v>38</v>
      </c>
      <c r="AL450" s="288"/>
      <c r="AM450" s="287"/>
      <c r="AN450" s="287"/>
      <c r="AO450" s="287"/>
      <c r="AP450" s="286"/>
      <c r="AQ450" s="296">
        <v>38</v>
      </c>
      <c r="AR450" s="286"/>
      <c r="AS450" s="286"/>
      <c r="AT450" s="286"/>
      <c r="AU450" s="286"/>
      <c r="AV450" s="286"/>
      <c r="AW450" s="286"/>
      <c r="AX450" s="286"/>
      <c r="AY450" s="286"/>
      <c r="AZ450" s="286"/>
      <c r="BA450" s="286"/>
      <c r="BB450" s="286"/>
      <c r="BC450" s="286"/>
      <c r="BD450" s="287"/>
      <c r="BE450" s="287"/>
      <c r="BF450" s="287"/>
      <c r="BG450" s="288">
        <v>38</v>
      </c>
      <c r="BH450" s="287"/>
      <c r="BI450" s="287"/>
      <c r="BJ450" s="287"/>
      <c r="BK450" s="287"/>
      <c r="BL450" s="287"/>
      <c r="BM450" s="287"/>
      <c r="BN450" s="287"/>
      <c r="BO450" s="287"/>
      <c r="BP450" s="287"/>
      <c r="BQ450" s="287"/>
      <c r="BR450" s="287"/>
      <c r="BS450" s="287"/>
      <c r="BT450" s="287"/>
      <c r="BU450" s="287"/>
      <c r="BV450" s="287"/>
      <c r="BW450" s="287"/>
      <c r="BX450" s="286"/>
      <c r="BY450" s="289"/>
      <c r="BZ450" s="289">
        <v>0</v>
      </c>
      <c r="CA450" s="289"/>
      <c r="CB450" s="289"/>
      <c r="CC450" s="289"/>
      <c r="CD450" s="289"/>
      <c r="CE450" s="289"/>
      <c r="CF450" s="289"/>
      <c r="CG450" s="287"/>
      <c r="CH450" s="287"/>
      <c r="CI450" s="287"/>
      <c r="CJ450" s="287"/>
      <c r="CK450" s="287"/>
      <c r="CL450" s="287"/>
      <c r="CM450" s="287"/>
      <c r="CN450" s="287"/>
      <c r="CO450" s="287"/>
      <c r="CP450" s="287"/>
      <c r="CQ450" s="287">
        <v>37</v>
      </c>
      <c r="CR450" s="287"/>
      <c r="CS450" s="288">
        <v>32</v>
      </c>
      <c r="CT450" s="6"/>
      <c r="CU450" s="6"/>
      <c r="CV450" s="6"/>
      <c r="CW450" s="6"/>
      <c r="CX450" s="6"/>
      <c r="CY450" s="6"/>
      <c r="CZ450" s="6"/>
      <c r="DA450" s="343">
        <f>H450</f>
        <v>28</v>
      </c>
    </row>
    <row r="451" spans="1:105" ht="20" customHeight="1" x14ac:dyDescent="0.35">
      <c r="A451" s="290"/>
      <c r="B451" s="270" t="s">
        <v>1020</v>
      </c>
      <c r="C451" s="270" t="s">
        <v>1661</v>
      </c>
      <c r="D451" s="297" t="s">
        <v>330</v>
      </c>
      <c r="E451" s="270" t="s">
        <v>330</v>
      </c>
      <c r="F451" s="270" t="s">
        <v>56</v>
      </c>
      <c r="G451" s="270" t="s">
        <v>33</v>
      </c>
      <c r="H451" s="363">
        <v>29</v>
      </c>
      <c r="I451" s="292"/>
      <c r="J451" s="286"/>
      <c r="K451" s="286"/>
      <c r="L451" s="286"/>
      <c r="M451" s="286"/>
      <c r="N451" s="292"/>
      <c r="O451" s="286">
        <v>34</v>
      </c>
      <c r="P451" s="292">
        <v>34</v>
      </c>
      <c r="Q451" s="286"/>
      <c r="R451" s="286">
        <v>34</v>
      </c>
      <c r="S451" s="300">
        <v>36</v>
      </c>
      <c r="T451" s="286"/>
      <c r="U451" s="286"/>
      <c r="V451" s="294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>
        <v>34</v>
      </c>
      <c r="AH451" s="286"/>
      <c r="AI451" s="286"/>
      <c r="AJ451" s="286"/>
      <c r="AK451" s="287"/>
      <c r="AL451" s="288"/>
      <c r="AM451" s="287"/>
      <c r="AN451" s="287"/>
      <c r="AO451" s="287"/>
      <c r="AP451" s="286"/>
      <c r="AQ451" s="296">
        <v>35</v>
      </c>
      <c r="AR451" s="286"/>
      <c r="AS451" s="286"/>
      <c r="AT451" s="286"/>
      <c r="AU451" s="286"/>
      <c r="AV451" s="286"/>
      <c r="AW451" s="286"/>
      <c r="AX451" s="286"/>
      <c r="AY451" s="286"/>
      <c r="AZ451" s="286"/>
      <c r="BA451" s="286"/>
      <c r="BB451" s="286"/>
      <c r="BC451" s="286"/>
      <c r="BD451" s="287"/>
      <c r="BE451" s="287"/>
      <c r="BF451" s="287"/>
      <c r="BG451" s="288">
        <v>35</v>
      </c>
      <c r="BH451" s="287"/>
      <c r="BI451" s="287"/>
      <c r="BJ451" s="287"/>
      <c r="BK451" s="287"/>
      <c r="BL451" s="287"/>
      <c r="BM451" s="287"/>
      <c r="BN451" s="287"/>
      <c r="BO451" s="287"/>
      <c r="BP451" s="287"/>
      <c r="BQ451" s="287"/>
      <c r="BR451" s="287"/>
      <c r="BS451" s="287"/>
      <c r="BT451" s="287"/>
      <c r="BU451" s="287"/>
      <c r="BV451" s="287"/>
      <c r="BW451" s="287"/>
      <c r="BX451" s="286"/>
      <c r="BY451" s="289"/>
      <c r="BZ451" s="289"/>
      <c r="CA451" s="289"/>
      <c r="CB451" s="289"/>
      <c r="CC451" s="289"/>
      <c r="CD451" s="289"/>
      <c r="CE451" s="289"/>
      <c r="CF451" s="289"/>
      <c r="CG451" s="287"/>
      <c r="CH451" s="287"/>
      <c r="CI451" s="287"/>
      <c r="CJ451" s="287"/>
      <c r="CK451" s="287"/>
      <c r="CL451" s="287"/>
      <c r="CM451" s="287"/>
      <c r="CN451" s="287"/>
      <c r="CO451" s="287"/>
      <c r="CP451" s="287"/>
      <c r="CQ451" s="287"/>
      <c r="CR451" s="287"/>
      <c r="CS451" s="6"/>
      <c r="CT451" s="6"/>
      <c r="CU451" s="6"/>
      <c r="CV451" s="6"/>
      <c r="CW451" s="6"/>
      <c r="CX451" s="6"/>
      <c r="CY451" s="6"/>
      <c r="CZ451" s="6"/>
      <c r="DA451" s="343">
        <f t="shared" si="13"/>
        <v>29</v>
      </c>
    </row>
    <row r="452" spans="1:105" ht="20" customHeight="1" x14ac:dyDescent="0.35">
      <c r="A452" s="290"/>
      <c r="B452" s="270" t="s">
        <v>1021</v>
      </c>
      <c r="C452" s="270" t="s">
        <v>1661</v>
      </c>
      <c r="D452" s="297" t="s">
        <v>330</v>
      </c>
      <c r="E452" s="270" t="s">
        <v>651</v>
      </c>
      <c r="F452" s="270" t="s">
        <v>1859</v>
      </c>
      <c r="G452" s="270" t="s">
        <v>33</v>
      </c>
      <c r="H452" s="298">
        <v>30</v>
      </c>
      <c r="I452" s="292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94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7"/>
      <c r="AL452" s="288"/>
      <c r="AM452" s="287"/>
      <c r="AN452" s="287"/>
      <c r="AO452" s="287"/>
      <c r="AP452" s="286"/>
      <c r="AQ452" s="296"/>
      <c r="AR452" s="286"/>
      <c r="AS452" s="286"/>
      <c r="AT452" s="286"/>
      <c r="AU452" s="286"/>
      <c r="AV452" s="286"/>
      <c r="AW452" s="286"/>
      <c r="AX452" s="286"/>
      <c r="AY452" s="286"/>
      <c r="AZ452" s="286"/>
      <c r="BA452" s="286"/>
      <c r="BB452" s="286"/>
      <c r="BC452" s="286"/>
      <c r="BD452" s="287"/>
      <c r="BE452" s="287"/>
      <c r="BF452" s="287"/>
      <c r="BG452" s="288">
        <v>38</v>
      </c>
      <c r="BH452" s="287"/>
      <c r="BI452" s="287"/>
      <c r="BJ452" s="287"/>
      <c r="BK452" s="287"/>
      <c r="BL452" s="287"/>
      <c r="BM452" s="287"/>
      <c r="BN452" s="287"/>
      <c r="BO452" s="287"/>
      <c r="BP452" s="287"/>
      <c r="BQ452" s="287"/>
      <c r="BR452" s="287"/>
      <c r="BS452" s="287"/>
      <c r="BT452" s="287"/>
      <c r="BU452" s="287"/>
      <c r="BV452" s="287"/>
      <c r="BW452" s="287"/>
      <c r="BX452" s="286"/>
      <c r="BY452" s="289"/>
      <c r="BZ452" s="289"/>
      <c r="CA452" s="289"/>
      <c r="CB452" s="289"/>
      <c r="CC452" s="289"/>
      <c r="CD452" s="289"/>
      <c r="CE452" s="289"/>
      <c r="CF452" s="289"/>
      <c r="CG452" s="287"/>
      <c r="CH452" s="287"/>
      <c r="CI452" s="287"/>
      <c r="CJ452" s="287"/>
      <c r="CK452" s="287"/>
      <c r="CL452" s="287"/>
      <c r="CM452" s="287"/>
      <c r="CN452" s="287"/>
      <c r="CO452" s="287"/>
      <c r="CP452" s="287"/>
      <c r="CQ452" s="287"/>
      <c r="CR452" s="287"/>
      <c r="CS452" s="287"/>
      <c r="CT452" s="6"/>
      <c r="CU452" s="6"/>
      <c r="CV452" s="6"/>
      <c r="CW452" s="6"/>
      <c r="CX452" s="6"/>
      <c r="CY452" s="6"/>
      <c r="CZ452" s="6"/>
      <c r="DA452" s="343">
        <f t="shared" si="13"/>
        <v>30</v>
      </c>
    </row>
    <row r="453" spans="1:105" ht="20" customHeight="1" x14ac:dyDescent="0.35">
      <c r="A453" s="290"/>
      <c r="B453" s="270" t="s">
        <v>1022</v>
      </c>
      <c r="C453" s="270" t="s">
        <v>267</v>
      </c>
      <c r="D453" s="297" t="s">
        <v>653</v>
      </c>
      <c r="E453" s="270" t="s">
        <v>34</v>
      </c>
      <c r="F453" s="270" t="s">
        <v>1858</v>
      </c>
      <c r="G453" s="270" t="s">
        <v>36</v>
      </c>
      <c r="H453" s="298">
        <v>40</v>
      </c>
      <c r="I453" s="292">
        <v>45</v>
      </c>
      <c r="J453" s="292">
        <v>45</v>
      </c>
      <c r="K453" s="286"/>
      <c r="L453" s="286">
        <v>45</v>
      </c>
      <c r="M453" s="286"/>
      <c r="N453" s="292">
        <v>45</v>
      </c>
      <c r="O453" s="286"/>
      <c r="P453" s="286"/>
      <c r="Q453" s="286"/>
      <c r="R453" s="286"/>
      <c r="S453" s="286"/>
      <c r="T453" s="286">
        <v>45</v>
      </c>
      <c r="U453" s="286"/>
      <c r="V453" s="294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95">
        <v>45</v>
      </c>
      <c r="AL453" s="288"/>
      <c r="AM453" s="287"/>
      <c r="AN453" s="287"/>
      <c r="AO453" s="287"/>
      <c r="AP453" s="286">
        <v>42</v>
      </c>
      <c r="AQ453" s="296">
        <v>48</v>
      </c>
      <c r="AR453" s="286">
        <v>42</v>
      </c>
      <c r="AS453" s="286"/>
      <c r="AT453" s="286">
        <v>42</v>
      </c>
      <c r="AU453" s="286">
        <v>42</v>
      </c>
      <c r="AV453" s="286">
        <v>42</v>
      </c>
      <c r="AW453" s="286">
        <v>42</v>
      </c>
      <c r="AX453" s="286">
        <v>42</v>
      </c>
      <c r="AY453" s="286">
        <v>42</v>
      </c>
      <c r="AZ453" s="286">
        <v>42</v>
      </c>
      <c r="BA453" s="286">
        <v>42</v>
      </c>
      <c r="BB453" s="286">
        <f>BA453</f>
        <v>42</v>
      </c>
      <c r="BC453" s="286">
        <v>42</v>
      </c>
      <c r="BD453" s="287"/>
      <c r="BE453" s="287"/>
      <c r="BF453" s="287"/>
      <c r="BG453" s="288">
        <v>48</v>
      </c>
      <c r="BH453" s="287"/>
      <c r="BI453" s="287"/>
      <c r="BJ453" s="287"/>
      <c r="BK453" s="287"/>
      <c r="BL453" s="287"/>
      <c r="BM453" s="287"/>
      <c r="BN453" s="287"/>
      <c r="BO453" s="287"/>
      <c r="BP453" s="287"/>
      <c r="BQ453" s="287"/>
      <c r="BR453" s="287"/>
      <c r="BS453" s="287"/>
      <c r="BT453" s="287"/>
      <c r="BU453" s="287"/>
      <c r="BV453" s="287"/>
      <c r="BW453" s="287"/>
      <c r="BX453" s="286"/>
      <c r="BY453" s="289"/>
      <c r="BZ453" s="289"/>
      <c r="CA453" s="289"/>
      <c r="CB453" s="289"/>
      <c r="CC453" s="289"/>
      <c r="CD453" s="289"/>
      <c r="CE453" s="289"/>
      <c r="CF453" s="289"/>
      <c r="CG453" s="287"/>
      <c r="CH453" s="287"/>
      <c r="CI453" s="287"/>
      <c r="CJ453" s="287"/>
      <c r="CK453" s="287"/>
      <c r="CL453" s="287"/>
      <c r="CM453" s="287"/>
      <c r="CN453" s="287"/>
      <c r="CO453" s="287"/>
      <c r="CP453" s="287"/>
      <c r="CQ453" s="287"/>
      <c r="CR453" s="287">
        <v>45</v>
      </c>
      <c r="CS453" s="288">
        <v>45</v>
      </c>
      <c r="CT453" s="6"/>
      <c r="CU453" s="6"/>
      <c r="CV453" s="6"/>
      <c r="CW453" s="6"/>
      <c r="CX453" s="6"/>
      <c r="CY453" s="6"/>
      <c r="CZ453" s="6"/>
      <c r="DA453" s="343">
        <f t="shared" si="13"/>
        <v>40</v>
      </c>
    </row>
    <row r="454" spans="1:105" ht="20" customHeight="1" x14ac:dyDescent="0.35">
      <c r="A454" s="290"/>
      <c r="B454" s="270" t="s">
        <v>1023</v>
      </c>
      <c r="C454" s="270" t="s">
        <v>267</v>
      </c>
      <c r="D454" s="297" t="s">
        <v>653</v>
      </c>
      <c r="E454" s="270" t="s">
        <v>34</v>
      </c>
      <c r="F454" s="270" t="s">
        <v>1771</v>
      </c>
      <c r="G454" s="270" t="s">
        <v>36</v>
      </c>
      <c r="H454" s="298">
        <f>H453/50</f>
        <v>0.8</v>
      </c>
      <c r="I454" s="292"/>
      <c r="J454" s="286"/>
      <c r="K454" s="286"/>
      <c r="L454" s="286"/>
      <c r="M454" s="286"/>
      <c r="N454" s="292"/>
      <c r="O454" s="286"/>
      <c r="P454" s="286"/>
      <c r="Q454" s="286"/>
      <c r="R454" s="286"/>
      <c r="S454" s="286"/>
      <c r="T454" s="286"/>
      <c r="U454" s="286"/>
      <c r="V454" s="294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7"/>
      <c r="AL454" s="288"/>
      <c r="AM454" s="287"/>
      <c r="AN454" s="287"/>
      <c r="AO454" s="287"/>
      <c r="AP454" s="286"/>
      <c r="AQ454" s="296"/>
      <c r="AR454" s="286"/>
      <c r="AS454" s="286"/>
      <c r="AT454" s="286"/>
      <c r="AU454" s="286"/>
      <c r="AV454" s="286"/>
      <c r="AW454" s="286"/>
      <c r="AX454" s="286"/>
      <c r="AY454" s="286"/>
      <c r="AZ454" s="286"/>
      <c r="BA454" s="286"/>
      <c r="BB454" s="286"/>
      <c r="BC454" s="286"/>
      <c r="BD454" s="287"/>
      <c r="BE454" s="287"/>
      <c r="BF454" s="287"/>
      <c r="BG454" s="287"/>
      <c r="BH454" s="287"/>
      <c r="BI454" s="287"/>
      <c r="BJ454" s="287"/>
      <c r="BK454" s="287"/>
      <c r="BL454" s="287"/>
      <c r="BM454" s="287"/>
      <c r="BN454" s="287"/>
      <c r="BO454" s="287"/>
      <c r="BP454" s="287"/>
      <c r="BQ454" s="287"/>
      <c r="BR454" s="287"/>
      <c r="BS454" s="287"/>
      <c r="BT454" s="287"/>
      <c r="BU454" s="287"/>
      <c r="BV454" s="287"/>
      <c r="BW454" s="287"/>
      <c r="BX454" s="286"/>
      <c r="BY454" s="289"/>
      <c r="BZ454" s="289"/>
      <c r="CA454" s="289"/>
      <c r="CB454" s="289"/>
      <c r="CC454" s="289"/>
      <c r="CD454" s="289"/>
      <c r="CE454" s="289"/>
      <c r="CF454" s="289"/>
      <c r="CG454" s="287"/>
      <c r="CH454" s="287"/>
      <c r="CI454" s="287"/>
      <c r="CJ454" s="287"/>
      <c r="CK454" s="287"/>
      <c r="CL454" s="287"/>
      <c r="CM454" s="287"/>
      <c r="CN454" s="287"/>
      <c r="CO454" s="287"/>
      <c r="CP454" s="287"/>
      <c r="CQ454" s="287"/>
      <c r="CR454" s="287">
        <v>1</v>
      </c>
      <c r="CS454" s="6"/>
      <c r="CT454" s="6"/>
      <c r="CU454" s="6"/>
      <c r="CV454" s="6"/>
      <c r="CW454" s="6"/>
      <c r="CX454" s="6"/>
      <c r="CY454" s="6"/>
      <c r="CZ454" s="6"/>
      <c r="DA454" s="343">
        <f t="shared" si="13"/>
        <v>0.8</v>
      </c>
    </row>
    <row r="455" spans="1:105" ht="20" customHeight="1" x14ac:dyDescent="0.35">
      <c r="A455" s="290">
        <v>4000005651</v>
      </c>
      <c r="B455" s="270" t="s">
        <v>1024</v>
      </c>
      <c r="C455" s="270" t="s">
        <v>269</v>
      </c>
      <c r="D455" s="297" t="s">
        <v>653</v>
      </c>
      <c r="E455" s="270" t="s">
        <v>409</v>
      </c>
      <c r="F455" s="270" t="s">
        <v>1857</v>
      </c>
      <c r="G455" s="270" t="s">
        <v>91</v>
      </c>
      <c r="H455" s="298">
        <v>45</v>
      </c>
      <c r="I455" s="292"/>
      <c r="J455" s="286"/>
      <c r="K455" s="300">
        <v>50</v>
      </c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94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7"/>
      <c r="AL455" s="288"/>
      <c r="AM455" s="287"/>
      <c r="AN455" s="287"/>
      <c r="AO455" s="287"/>
      <c r="AP455" s="286"/>
      <c r="AQ455" s="296"/>
      <c r="AR455" s="286"/>
      <c r="AS455" s="286"/>
      <c r="AT455" s="286"/>
      <c r="AU455" s="286"/>
      <c r="AV455" s="286"/>
      <c r="AW455" s="286"/>
      <c r="AX455" s="286"/>
      <c r="AY455" s="286"/>
      <c r="AZ455" s="286"/>
      <c r="BA455" s="286"/>
      <c r="BB455" s="286"/>
      <c r="BC455" s="286"/>
      <c r="BD455" s="287"/>
      <c r="BE455" s="287"/>
      <c r="BF455" s="287"/>
      <c r="BG455" s="287"/>
      <c r="BH455" s="287"/>
      <c r="BI455" s="287"/>
      <c r="BJ455" s="287"/>
      <c r="BK455" s="287"/>
      <c r="BL455" s="287"/>
      <c r="BM455" s="287"/>
      <c r="BN455" s="287"/>
      <c r="BO455" s="287"/>
      <c r="BP455" s="287"/>
      <c r="BQ455" s="287"/>
      <c r="BR455" s="287"/>
      <c r="BS455" s="287"/>
      <c r="BT455" s="287"/>
      <c r="BU455" s="287"/>
      <c r="BV455" s="287"/>
      <c r="BW455" s="287"/>
      <c r="BX455" s="286"/>
      <c r="BY455" s="289"/>
      <c r="BZ455" s="289"/>
      <c r="CA455" s="289"/>
      <c r="CB455" s="289"/>
      <c r="CC455" s="289"/>
      <c r="CD455" s="289"/>
      <c r="CE455" s="289"/>
      <c r="CF455" s="289"/>
      <c r="CG455" s="287"/>
      <c r="CH455" s="287"/>
      <c r="CI455" s="287"/>
      <c r="CJ455" s="287"/>
      <c r="CK455" s="287"/>
      <c r="CL455" s="287"/>
      <c r="CM455" s="287"/>
      <c r="CN455" s="287"/>
      <c r="CO455" s="287"/>
      <c r="CP455" s="287"/>
      <c r="CQ455" s="287"/>
      <c r="CR455" s="287"/>
      <c r="CS455" s="6"/>
      <c r="CT455" s="6"/>
      <c r="CU455" s="6"/>
      <c r="CV455" s="6"/>
      <c r="CW455" s="6"/>
      <c r="CX455" s="6"/>
      <c r="CY455" s="6"/>
      <c r="CZ455" s="6"/>
      <c r="DA455" s="343">
        <f t="shared" si="13"/>
        <v>45</v>
      </c>
    </row>
    <row r="456" spans="1:105" ht="20" customHeight="1" x14ac:dyDescent="0.35">
      <c r="A456" s="290"/>
      <c r="B456" s="270" t="s">
        <v>1092</v>
      </c>
      <c r="C456" s="270" t="s">
        <v>269</v>
      </c>
      <c r="D456" s="297" t="s">
        <v>653</v>
      </c>
      <c r="E456" s="270" t="s">
        <v>409</v>
      </c>
      <c r="F456" s="270" t="s">
        <v>1093</v>
      </c>
      <c r="G456" s="270" t="s">
        <v>945</v>
      </c>
      <c r="H456" s="298">
        <v>1.26</v>
      </c>
      <c r="I456" s="292"/>
      <c r="J456" s="286"/>
      <c r="K456" s="300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94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7"/>
      <c r="AL456" s="288"/>
      <c r="AM456" s="287"/>
      <c r="AN456" s="287"/>
      <c r="AO456" s="287"/>
      <c r="AP456" s="286"/>
      <c r="AQ456" s="296"/>
      <c r="AR456" s="286"/>
      <c r="AS456" s="286"/>
      <c r="AT456" s="286"/>
      <c r="AU456" s="286"/>
      <c r="AV456" s="286"/>
      <c r="AW456" s="286"/>
      <c r="AX456" s="286"/>
      <c r="AY456" s="286"/>
      <c r="AZ456" s="286"/>
      <c r="BA456" s="286"/>
      <c r="BB456" s="286"/>
      <c r="BC456" s="286"/>
      <c r="BD456" s="287"/>
      <c r="BE456" s="287"/>
      <c r="BF456" s="287"/>
      <c r="BG456" s="287"/>
      <c r="BH456" s="287"/>
      <c r="BI456" s="287"/>
      <c r="BJ456" s="287"/>
      <c r="BK456" s="287"/>
      <c r="BL456" s="287"/>
      <c r="BM456" s="287"/>
      <c r="BN456" s="287"/>
      <c r="BO456" s="287"/>
      <c r="BP456" s="287"/>
      <c r="BQ456" s="287"/>
      <c r="BR456" s="287"/>
      <c r="BS456" s="287"/>
      <c r="BT456" s="287"/>
      <c r="BU456" s="287"/>
      <c r="BV456" s="287"/>
      <c r="BW456" s="287"/>
      <c r="BX456" s="286"/>
      <c r="BY456" s="289"/>
      <c r="BZ456" s="289">
        <v>1.6</v>
      </c>
      <c r="CA456" s="289"/>
      <c r="CB456" s="289"/>
      <c r="CC456" s="289"/>
      <c r="CD456" s="289"/>
      <c r="CE456" s="289"/>
      <c r="CF456" s="289"/>
      <c r="CG456" s="287"/>
      <c r="CH456" s="287"/>
      <c r="CI456" s="287"/>
      <c r="CJ456" s="287"/>
      <c r="CK456" s="287"/>
      <c r="CL456" s="287"/>
      <c r="CM456" s="287"/>
      <c r="CN456" s="287"/>
      <c r="CO456" s="287"/>
      <c r="CP456" s="287"/>
      <c r="CQ456" s="287"/>
      <c r="CR456" s="287"/>
      <c r="CS456" s="6"/>
      <c r="CT456" s="6"/>
      <c r="CU456" s="6"/>
      <c r="CV456" s="6"/>
      <c r="CW456" s="6"/>
      <c r="CX456" s="6"/>
      <c r="CY456" s="6"/>
      <c r="CZ456" s="6"/>
      <c r="DA456" s="343">
        <f t="shared" si="13"/>
        <v>1.26</v>
      </c>
    </row>
    <row r="457" spans="1:105" ht="20" customHeight="1" x14ac:dyDescent="0.35">
      <c r="A457" s="301"/>
      <c r="B457" s="270" t="s">
        <v>1025</v>
      </c>
      <c r="C457" s="270" t="s">
        <v>1409</v>
      </c>
      <c r="D457" s="270" t="s">
        <v>629</v>
      </c>
      <c r="E457" s="270" t="s">
        <v>34</v>
      </c>
      <c r="F457" s="270" t="s">
        <v>1410</v>
      </c>
      <c r="G457" s="270" t="s">
        <v>1026</v>
      </c>
      <c r="H457" s="298">
        <f>65/80</f>
        <v>0.8125</v>
      </c>
      <c r="I457" s="286"/>
      <c r="J457" s="292">
        <v>1.2</v>
      </c>
      <c r="K457" s="286"/>
      <c r="L457" s="286"/>
      <c r="M457" s="286"/>
      <c r="N457" s="286"/>
      <c r="O457" s="286"/>
      <c r="P457" s="286"/>
      <c r="Q457" s="286"/>
      <c r="R457" s="286"/>
      <c r="S457" s="286"/>
      <c r="T457" s="286">
        <v>1.2</v>
      </c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7"/>
      <c r="AL457" s="288"/>
      <c r="AM457" s="287"/>
      <c r="AN457" s="287"/>
      <c r="AO457" s="287"/>
      <c r="AP457" s="286"/>
      <c r="AQ457" s="296"/>
      <c r="AR457" s="286"/>
      <c r="AS457" s="286"/>
      <c r="AT457" s="286"/>
      <c r="AU457" s="286"/>
      <c r="AV457" s="286"/>
      <c r="AW457" s="286"/>
      <c r="AX457" s="286"/>
      <c r="AY457" s="286"/>
      <c r="AZ457" s="286"/>
      <c r="BA457" s="286"/>
      <c r="BB457" s="286"/>
      <c r="BC457" s="286"/>
      <c r="BD457" s="287"/>
      <c r="BE457" s="287"/>
      <c r="BF457" s="287"/>
      <c r="BG457" s="287"/>
      <c r="BH457" s="287"/>
      <c r="BI457" s="287"/>
      <c r="BJ457" s="287"/>
      <c r="BK457" s="287"/>
      <c r="BL457" s="287"/>
      <c r="BM457" s="287"/>
      <c r="BN457" s="287"/>
      <c r="BO457" s="287"/>
      <c r="BP457" s="287"/>
      <c r="BQ457" s="287"/>
      <c r="BR457" s="287"/>
      <c r="BS457" s="287"/>
      <c r="BT457" s="287"/>
      <c r="BU457" s="287"/>
      <c r="BV457" s="287"/>
      <c r="BW457" s="287"/>
      <c r="BX457" s="286"/>
      <c r="BY457" s="289"/>
      <c r="BZ457" s="289"/>
      <c r="CA457" s="289"/>
      <c r="CB457" s="289"/>
      <c r="CC457" s="289"/>
      <c r="CD457" s="289"/>
      <c r="CE457" s="289"/>
      <c r="CF457" s="289"/>
      <c r="CG457" s="287"/>
      <c r="CH457" s="287"/>
      <c r="CI457" s="287"/>
      <c r="CJ457" s="287"/>
      <c r="CK457" s="287"/>
      <c r="CL457" s="287"/>
      <c r="CM457" s="287"/>
      <c r="CN457" s="287"/>
      <c r="CO457" s="287"/>
      <c r="CP457" s="287"/>
      <c r="CQ457" s="287"/>
      <c r="CR457" s="287"/>
      <c r="CS457" s="6"/>
      <c r="CT457" s="6"/>
      <c r="CU457" s="6"/>
      <c r="CV457" s="6"/>
      <c r="CW457" s="6"/>
      <c r="CX457" s="6"/>
      <c r="CY457" s="6"/>
      <c r="CZ457" s="6"/>
      <c r="DA457" s="343">
        <f t="shared" si="13"/>
        <v>0.8125</v>
      </c>
    </row>
    <row r="458" spans="1:105" ht="20" customHeight="1" x14ac:dyDescent="0.35">
      <c r="A458" s="301" t="s">
        <v>1205</v>
      </c>
      <c r="B458" s="270" t="s">
        <v>1186</v>
      </c>
      <c r="C458" s="270" t="s">
        <v>1575</v>
      </c>
      <c r="D458" s="270" t="s">
        <v>655</v>
      </c>
      <c r="E458" s="270" t="s">
        <v>398</v>
      </c>
      <c r="F458" s="270" t="s">
        <v>347</v>
      </c>
      <c r="G458" s="270" t="s">
        <v>38</v>
      </c>
      <c r="H458" s="298">
        <f>27/5</f>
        <v>5.4</v>
      </c>
      <c r="I458" s="286">
        <v>7</v>
      </c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95">
        <v>8.5</v>
      </c>
      <c r="AL458" s="288"/>
      <c r="AM458" s="287"/>
      <c r="AN458" s="287"/>
      <c r="AO458" s="287"/>
      <c r="AP458" s="286"/>
      <c r="AQ458" s="296"/>
      <c r="AR458" s="286"/>
      <c r="AS458" s="286"/>
      <c r="AT458" s="286"/>
      <c r="AU458" s="286"/>
      <c r="AV458" s="286"/>
      <c r="AW458" s="286"/>
      <c r="AX458" s="286"/>
      <c r="AY458" s="286"/>
      <c r="AZ458" s="286"/>
      <c r="BA458" s="286"/>
      <c r="BB458" s="286"/>
      <c r="BC458" s="286"/>
      <c r="BD458" s="287"/>
      <c r="BE458" s="287"/>
      <c r="BF458" s="287"/>
      <c r="BG458" s="288">
        <v>7.5</v>
      </c>
      <c r="BH458" s="287"/>
      <c r="BI458" s="287"/>
      <c r="BJ458" s="287"/>
      <c r="BK458" s="287"/>
      <c r="BL458" s="287"/>
      <c r="BM458" s="287"/>
      <c r="BN458" s="287"/>
      <c r="BO458" s="287"/>
      <c r="BP458" s="287"/>
      <c r="BQ458" s="287"/>
      <c r="BR458" s="287"/>
      <c r="BS458" s="287"/>
      <c r="BT458" s="287"/>
      <c r="BU458" s="287"/>
      <c r="BV458" s="287"/>
      <c r="BW458" s="287"/>
      <c r="BX458" s="286"/>
      <c r="BY458" s="289"/>
      <c r="BZ458" s="289"/>
      <c r="CA458" s="289"/>
      <c r="CB458" s="289"/>
      <c r="CC458" s="289"/>
      <c r="CD458" s="289"/>
      <c r="CE458" s="289">
        <v>7</v>
      </c>
      <c r="CF458" s="289"/>
      <c r="CG458" s="287"/>
      <c r="CH458" s="287"/>
      <c r="CI458" s="287"/>
      <c r="CJ458" s="287"/>
      <c r="CK458" s="287"/>
      <c r="CL458" s="287"/>
      <c r="CM458" s="287"/>
      <c r="CN458" s="287"/>
      <c r="CO458" s="287"/>
      <c r="CP458" s="287"/>
      <c r="CQ458" s="287"/>
      <c r="CR458" s="287"/>
      <c r="CS458" s="288">
        <v>7</v>
      </c>
      <c r="CT458" s="6"/>
      <c r="CU458" s="6"/>
      <c r="CV458" s="6"/>
      <c r="CW458" s="6"/>
      <c r="CX458" s="6"/>
      <c r="CY458" s="6"/>
      <c r="CZ458" s="6"/>
      <c r="DA458" s="343">
        <f t="shared" si="13"/>
        <v>5.4</v>
      </c>
    </row>
    <row r="459" spans="1:105" ht="20" customHeight="1" x14ac:dyDescent="0.35">
      <c r="A459" s="301"/>
      <c r="B459" s="270" t="s">
        <v>1726</v>
      </c>
      <c r="C459" s="270" t="s">
        <v>1722</v>
      </c>
      <c r="D459" s="270" t="s">
        <v>34</v>
      </c>
      <c r="E459" s="270" t="s">
        <v>34</v>
      </c>
      <c r="F459" s="270" t="s">
        <v>1855</v>
      </c>
      <c r="G459" s="270" t="s">
        <v>1026</v>
      </c>
      <c r="H459" s="298">
        <f>(28.8/25000*430)+(37/10000*64)+(17/6000*12)</f>
        <v>0.76616000000000006</v>
      </c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95"/>
      <c r="AL459" s="288"/>
      <c r="AM459" s="287"/>
      <c r="AN459" s="287"/>
      <c r="AO459" s="287"/>
      <c r="AP459" s="286"/>
      <c r="AQ459" s="296">
        <v>2.8</v>
      </c>
      <c r="AR459" s="286"/>
      <c r="AS459" s="286"/>
      <c r="AT459" s="286"/>
      <c r="AU459" s="286"/>
      <c r="AV459" s="286"/>
      <c r="AW459" s="286"/>
      <c r="AX459" s="286"/>
      <c r="AY459" s="286"/>
      <c r="AZ459" s="286"/>
      <c r="BA459" s="286"/>
      <c r="BB459" s="286"/>
      <c r="BC459" s="286"/>
      <c r="BD459" s="287"/>
      <c r="BE459" s="287"/>
      <c r="BF459" s="287"/>
      <c r="BG459" s="288"/>
      <c r="BH459" s="287"/>
      <c r="BI459" s="287"/>
      <c r="BJ459" s="287"/>
      <c r="BK459" s="287"/>
      <c r="BL459" s="287"/>
      <c r="BM459" s="287"/>
      <c r="BN459" s="287"/>
      <c r="BO459" s="287"/>
      <c r="BP459" s="287"/>
      <c r="BQ459" s="287"/>
      <c r="BR459" s="287"/>
      <c r="BS459" s="287"/>
      <c r="BT459" s="287"/>
      <c r="BU459" s="287"/>
      <c r="BV459" s="287"/>
      <c r="BW459" s="287"/>
      <c r="BX459" s="286"/>
      <c r="BY459" s="289"/>
      <c r="BZ459" s="289"/>
      <c r="CA459" s="289"/>
      <c r="CB459" s="289"/>
      <c r="CC459" s="289"/>
      <c r="CD459" s="289"/>
      <c r="CE459" s="289"/>
      <c r="CF459" s="289"/>
      <c r="CG459" s="287"/>
      <c r="CH459" s="287"/>
      <c r="CI459" s="287"/>
      <c r="CJ459" s="287"/>
      <c r="CK459" s="287"/>
      <c r="CL459" s="287"/>
      <c r="CM459" s="287"/>
      <c r="CN459" s="287"/>
      <c r="CO459" s="287"/>
      <c r="CP459" s="287"/>
      <c r="CQ459" s="287"/>
      <c r="CR459" s="287"/>
      <c r="CS459" s="288"/>
      <c r="CT459" s="6"/>
      <c r="CU459" s="6"/>
      <c r="CV459" s="6"/>
      <c r="CW459" s="6"/>
      <c r="CX459" s="6"/>
      <c r="CY459" s="6"/>
      <c r="CZ459" s="6"/>
      <c r="DA459" s="343">
        <f t="shared" si="13"/>
        <v>0.76616000000000006</v>
      </c>
    </row>
    <row r="460" spans="1:105" ht="20" customHeight="1" x14ac:dyDescent="0.35">
      <c r="A460" s="290"/>
      <c r="B460" s="270" t="s">
        <v>1027</v>
      </c>
      <c r="C460" s="270" t="s">
        <v>230</v>
      </c>
      <c r="D460" s="297" t="s">
        <v>627</v>
      </c>
      <c r="E460" s="297" t="s">
        <v>34</v>
      </c>
      <c r="F460" s="270" t="s">
        <v>66</v>
      </c>
      <c r="G460" s="270" t="s">
        <v>39</v>
      </c>
      <c r="H460" s="298">
        <v>1.1000000000000001</v>
      </c>
      <c r="I460" s="292">
        <v>1.8</v>
      </c>
      <c r="J460" s="292">
        <v>1.8</v>
      </c>
      <c r="K460" s="286"/>
      <c r="L460" s="286">
        <v>0</v>
      </c>
      <c r="M460" s="286"/>
      <c r="N460" s="286"/>
      <c r="O460" s="286"/>
      <c r="P460" s="286">
        <v>2.1</v>
      </c>
      <c r="Q460" s="286"/>
      <c r="R460" s="286"/>
      <c r="S460" s="286"/>
      <c r="T460" s="286">
        <v>1.8</v>
      </c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95">
        <v>2</v>
      </c>
      <c r="AL460" s="288"/>
      <c r="AM460" s="287"/>
      <c r="AN460" s="287"/>
      <c r="AO460" s="287">
        <v>1.8</v>
      </c>
      <c r="AP460" s="286">
        <v>1.8</v>
      </c>
      <c r="AQ460" s="296">
        <v>2.1</v>
      </c>
      <c r="AR460" s="286">
        <v>1.8</v>
      </c>
      <c r="AS460" s="286"/>
      <c r="AT460" s="286">
        <v>1.8</v>
      </c>
      <c r="AU460" s="286">
        <v>1.8</v>
      </c>
      <c r="AV460" s="286">
        <v>1.8</v>
      </c>
      <c r="AW460" s="286">
        <v>1.8</v>
      </c>
      <c r="AX460" s="286">
        <v>1.8</v>
      </c>
      <c r="AY460" s="286">
        <v>1.8</v>
      </c>
      <c r="AZ460" s="286">
        <v>1.8</v>
      </c>
      <c r="BA460" s="286">
        <v>1.8</v>
      </c>
      <c r="BB460" s="286">
        <f>BA460</f>
        <v>1.8</v>
      </c>
      <c r="BC460" s="286">
        <v>1.8</v>
      </c>
      <c r="BD460" s="287"/>
      <c r="BE460" s="287"/>
      <c r="BF460" s="287"/>
      <c r="BG460" s="288">
        <v>2</v>
      </c>
      <c r="BH460" s="287"/>
      <c r="BI460" s="287"/>
      <c r="BJ460" s="287"/>
      <c r="BK460" s="287"/>
      <c r="BL460" s="287"/>
      <c r="BM460" s="287"/>
      <c r="BN460" s="287"/>
      <c r="BO460" s="287"/>
      <c r="BP460" s="287"/>
      <c r="BQ460" s="287"/>
      <c r="BR460" s="287"/>
      <c r="BS460" s="287"/>
      <c r="BT460" s="287"/>
      <c r="BU460" s="287"/>
      <c r="BV460" s="287"/>
      <c r="BW460" s="287"/>
      <c r="BX460" s="286">
        <f>J460</f>
        <v>1.8</v>
      </c>
      <c r="BY460" s="289"/>
      <c r="BZ460" s="289"/>
      <c r="CA460" s="289"/>
      <c r="CB460" s="289"/>
      <c r="CC460" s="289"/>
      <c r="CD460" s="289"/>
      <c r="CE460" s="289"/>
      <c r="CF460" s="289"/>
      <c r="CG460" s="287"/>
      <c r="CH460" s="287"/>
      <c r="CI460" s="287"/>
      <c r="CJ460" s="287"/>
      <c r="CK460" s="287"/>
      <c r="CL460" s="287"/>
      <c r="CM460" s="287"/>
      <c r="CN460" s="287"/>
      <c r="CO460" s="287"/>
      <c r="CP460" s="287"/>
      <c r="CQ460" s="287"/>
      <c r="CR460" s="287"/>
      <c r="CS460" s="288">
        <v>1.8</v>
      </c>
      <c r="CT460" s="6"/>
      <c r="CU460" s="6"/>
      <c r="CV460" s="6"/>
      <c r="CW460" s="6"/>
      <c r="CX460" s="6"/>
      <c r="CY460" s="6"/>
      <c r="CZ460" s="6"/>
      <c r="DA460" s="343">
        <f t="shared" si="13"/>
        <v>1.1000000000000001</v>
      </c>
    </row>
    <row r="461" spans="1:105" ht="20" customHeight="1" x14ac:dyDescent="0.35">
      <c r="A461" s="290"/>
      <c r="B461" s="270" t="s">
        <v>1885</v>
      </c>
      <c r="C461" s="270" t="s">
        <v>230</v>
      </c>
      <c r="D461" s="297" t="s">
        <v>627</v>
      </c>
      <c r="E461" s="297" t="s">
        <v>34</v>
      </c>
      <c r="F461" s="270" t="s">
        <v>553</v>
      </c>
      <c r="G461" s="270" t="s">
        <v>39</v>
      </c>
      <c r="H461" s="298">
        <f>1.1*5</f>
        <v>5.5</v>
      </c>
      <c r="I461" s="292"/>
      <c r="J461" s="292">
        <v>9</v>
      </c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95"/>
      <c r="AL461" s="288">
        <v>9</v>
      </c>
      <c r="AM461" s="287"/>
      <c r="AN461" s="287"/>
      <c r="AO461" s="318"/>
      <c r="AP461" s="286"/>
      <c r="AQ461" s="296"/>
      <c r="AR461" s="286"/>
      <c r="AS461" s="286"/>
      <c r="AT461" s="286"/>
      <c r="AU461" s="286"/>
      <c r="AV461" s="286"/>
      <c r="AW461" s="286"/>
      <c r="AX461" s="286"/>
      <c r="AY461" s="286"/>
      <c r="AZ461" s="286"/>
      <c r="BA461" s="286"/>
      <c r="BB461" s="286"/>
      <c r="BC461" s="286"/>
      <c r="BD461" s="287"/>
      <c r="BE461" s="287"/>
      <c r="BF461" s="287"/>
      <c r="BG461" s="288"/>
      <c r="BH461" s="287"/>
      <c r="BI461" s="287"/>
      <c r="BJ461" s="287"/>
      <c r="BK461" s="287"/>
      <c r="BL461" s="287"/>
      <c r="BM461" s="287"/>
      <c r="BN461" s="287"/>
      <c r="BO461" s="287"/>
      <c r="BP461" s="287"/>
      <c r="BQ461" s="287"/>
      <c r="BR461" s="287"/>
      <c r="BS461" s="287"/>
      <c r="BT461" s="287"/>
      <c r="BU461" s="287"/>
      <c r="BV461" s="287"/>
      <c r="BW461" s="287"/>
      <c r="BX461" s="286"/>
      <c r="BY461" s="289"/>
      <c r="BZ461" s="289"/>
      <c r="CA461" s="289"/>
      <c r="CB461" s="289"/>
      <c r="CC461" s="289"/>
      <c r="CD461" s="289"/>
      <c r="CE461" s="289"/>
      <c r="CF461" s="289"/>
      <c r="CG461" s="287"/>
      <c r="CH461" s="287"/>
      <c r="CI461" s="287"/>
      <c r="CJ461" s="287"/>
      <c r="CK461" s="287"/>
      <c r="CL461" s="287"/>
      <c r="CM461" s="288">
        <v>9</v>
      </c>
      <c r="CN461" s="287"/>
      <c r="CO461" s="287"/>
      <c r="CP461" s="287"/>
      <c r="CQ461" s="287"/>
      <c r="CR461" s="287">
        <v>11</v>
      </c>
      <c r="CS461" s="288"/>
      <c r="CT461" s="6"/>
      <c r="CU461" s="6"/>
      <c r="CV461" s="6"/>
      <c r="CW461" s="6"/>
      <c r="CX461" s="6"/>
      <c r="CY461" s="6"/>
      <c r="CZ461" s="6"/>
      <c r="DA461" s="343">
        <f t="shared" si="13"/>
        <v>5.5</v>
      </c>
    </row>
    <row r="462" spans="1:105" ht="20" customHeight="1" x14ac:dyDescent="0.35">
      <c r="A462" s="290"/>
      <c r="B462" s="270" t="s">
        <v>1886</v>
      </c>
      <c r="C462" s="270" t="s">
        <v>230</v>
      </c>
      <c r="D462" s="297" t="s">
        <v>627</v>
      </c>
      <c r="E462" s="297" t="s">
        <v>34</v>
      </c>
      <c r="F462" s="270" t="s">
        <v>1887</v>
      </c>
      <c r="G462" s="270" t="s">
        <v>39</v>
      </c>
      <c r="H462" s="298">
        <f>1.1*2</f>
        <v>2.2000000000000002</v>
      </c>
      <c r="I462" s="292"/>
      <c r="J462" s="292">
        <v>3.6</v>
      </c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95"/>
      <c r="AL462" s="288"/>
      <c r="AM462" s="287"/>
      <c r="AN462" s="287"/>
      <c r="AO462" s="287"/>
      <c r="AP462" s="286"/>
      <c r="AQ462" s="296"/>
      <c r="AR462" s="286"/>
      <c r="AS462" s="286"/>
      <c r="AT462" s="286"/>
      <c r="AU462" s="286"/>
      <c r="AV462" s="286"/>
      <c r="AW462" s="286"/>
      <c r="AX462" s="286"/>
      <c r="AY462" s="286"/>
      <c r="AZ462" s="286">
        <v>3.6</v>
      </c>
      <c r="BA462" s="286"/>
      <c r="BB462" s="286"/>
      <c r="BC462" s="286"/>
      <c r="BD462" s="287"/>
      <c r="BE462" s="287"/>
      <c r="BF462" s="287"/>
      <c r="BG462" s="288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6"/>
      <c r="BY462" s="289"/>
      <c r="BZ462" s="289"/>
      <c r="CA462" s="289"/>
      <c r="CB462" s="289"/>
      <c r="CC462" s="289"/>
      <c r="CD462" s="289"/>
      <c r="CE462" s="289"/>
      <c r="CF462" s="289"/>
      <c r="CG462" s="287"/>
      <c r="CH462" s="287"/>
      <c r="CI462" s="287"/>
      <c r="CJ462" s="287"/>
      <c r="CK462" s="287"/>
      <c r="CL462" s="287"/>
      <c r="CM462" s="287"/>
      <c r="CN462" s="287"/>
      <c r="CO462" s="292">
        <v>3.6</v>
      </c>
      <c r="CP462" s="287"/>
      <c r="CQ462" s="287"/>
      <c r="CR462" s="287"/>
      <c r="CS462" s="288"/>
      <c r="CT462" s="6"/>
      <c r="CU462" s="6"/>
      <c r="CV462" s="6"/>
      <c r="CW462" s="6"/>
      <c r="CX462" s="6"/>
      <c r="CY462" s="6"/>
      <c r="CZ462" s="6"/>
      <c r="DA462" s="343">
        <f t="shared" si="13"/>
        <v>2.2000000000000002</v>
      </c>
    </row>
    <row r="463" spans="1:105" ht="20" customHeight="1" x14ac:dyDescent="0.35">
      <c r="A463" s="290"/>
      <c r="B463" s="270" t="s">
        <v>1935</v>
      </c>
      <c r="C463" s="270" t="s">
        <v>230</v>
      </c>
      <c r="D463" s="297" t="s">
        <v>627</v>
      </c>
      <c r="E463" s="297" t="s">
        <v>34</v>
      </c>
      <c r="F463" s="270" t="s">
        <v>579</v>
      </c>
      <c r="G463" s="270" t="s">
        <v>39</v>
      </c>
      <c r="H463" s="298">
        <v>3.3</v>
      </c>
      <c r="I463" s="292"/>
      <c r="J463" s="352">
        <v>5.4</v>
      </c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95"/>
      <c r="AL463" s="288"/>
      <c r="AM463" s="287"/>
      <c r="AN463" s="287"/>
      <c r="AO463" s="287"/>
      <c r="AP463" s="286"/>
      <c r="AQ463" s="29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  <c r="BC463" s="286"/>
      <c r="BD463" s="287"/>
      <c r="BE463" s="287"/>
      <c r="BF463" s="287"/>
      <c r="BG463" s="288"/>
      <c r="BH463" s="287">
        <v>5.4</v>
      </c>
      <c r="BI463" s="287"/>
      <c r="BJ463" s="287"/>
      <c r="BK463" s="287"/>
      <c r="BL463" s="287"/>
      <c r="BM463" s="287"/>
      <c r="BN463" s="287"/>
      <c r="BO463" s="287"/>
      <c r="BP463" s="287"/>
      <c r="BQ463" s="287"/>
      <c r="BR463" s="287"/>
      <c r="BS463" s="287"/>
      <c r="BT463" s="287"/>
      <c r="BU463" s="287"/>
      <c r="BV463" s="287"/>
      <c r="BW463" s="287"/>
      <c r="BX463" s="286"/>
      <c r="BY463" s="289"/>
      <c r="BZ463" s="289"/>
      <c r="CA463" s="289"/>
      <c r="CB463" s="289"/>
      <c r="CC463" s="289"/>
      <c r="CD463" s="289"/>
      <c r="CE463" s="289"/>
      <c r="CF463" s="289"/>
      <c r="CG463" s="287"/>
      <c r="CH463" s="287"/>
      <c r="CI463" s="287"/>
      <c r="CJ463" s="287"/>
      <c r="CK463" s="287"/>
      <c r="CL463" s="287"/>
      <c r="CM463" s="287"/>
      <c r="CN463" s="287"/>
      <c r="CO463" s="287"/>
      <c r="CP463" s="287"/>
      <c r="CQ463" s="287"/>
      <c r="CR463" s="287">
        <v>4</v>
      </c>
      <c r="CS463" s="288"/>
      <c r="CT463" s="6"/>
      <c r="CU463" s="6"/>
      <c r="CV463" s="6"/>
      <c r="CW463" s="6"/>
      <c r="CX463" s="6"/>
      <c r="CY463" s="6"/>
      <c r="CZ463" s="6"/>
      <c r="DA463" s="343">
        <f t="shared" si="13"/>
        <v>3.3</v>
      </c>
    </row>
    <row r="464" spans="1:105" ht="20" customHeight="1" x14ac:dyDescent="0.35">
      <c r="A464" s="290" t="s">
        <v>67</v>
      </c>
      <c r="B464" s="270" t="s">
        <v>1028</v>
      </c>
      <c r="C464" s="270" t="s">
        <v>260</v>
      </c>
      <c r="D464" s="297" t="s">
        <v>627</v>
      </c>
      <c r="E464" s="297" t="s">
        <v>34</v>
      </c>
      <c r="F464" s="270" t="s">
        <v>66</v>
      </c>
      <c r="G464" s="270" t="s">
        <v>39</v>
      </c>
      <c r="H464" s="298">
        <f>(1.6+1.75)/2</f>
        <v>1.675</v>
      </c>
      <c r="I464" s="300">
        <v>2.4</v>
      </c>
      <c r="J464" s="292">
        <v>2.5</v>
      </c>
      <c r="K464" s="286"/>
      <c r="L464" s="286"/>
      <c r="M464" s="286"/>
      <c r="N464" s="292">
        <v>2.7</v>
      </c>
      <c r="O464" s="286">
        <v>2.8</v>
      </c>
      <c r="P464" s="292">
        <v>2.7</v>
      </c>
      <c r="Q464" s="286"/>
      <c r="R464" s="286"/>
      <c r="S464" s="286"/>
      <c r="T464" s="286">
        <v>2.5</v>
      </c>
      <c r="U464" s="286"/>
      <c r="V464" s="294"/>
      <c r="W464" s="286"/>
      <c r="X464" s="286"/>
      <c r="Y464" s="286"/>
      <c r="Z464" s="286"/>
      <c r="AA464" s="286"/>
      <c r="AB464" s="286"/>
      <c r="AC464" s="286">
        <v>2.5</v>
      </c>
      <c r="AD464" s="286"/>
      <c r="AE464" s="286"/>
      <c r="AF464" s="286"/>
      <c r="AG464" s="286"/>
      <c r="AH464" s="286"/>
      <c r="AI464" s="286"/>
      <c r="AJ464" s="286">
        <v>2.5</v>
      </c>
      <c r="AK464" s="295">
        <v>2.7</v>
      </c>
      <c r="AL464" s="288"/>
      <c r="AM464" s="287">
        <v>2.8</v>
      </c>
      <c r="AN464" s="287"/>
      <c r="AO464" s="287"/>
      <c r="AP464" s="286">
        <v>2.5</v>
      </c>
      <c r="AQ464" s="296">
        <v>2.6</v>
      </c>
      <c r="AR464" s="286">
        <v>2.5</v>
      </c>
      <c r="AS464" s="286">
        <v>2.5</v>
      </c>
      <c r="AT464" s="286">
        <v>2.5</v>
      </c>
      <c r="AU464" s="286">
        <v>2.5</v>
      </c>
      <c r="AV464" s="286">
        <v>2.5</v>
      </c>
      <c r="AW464" s="286">
        <v>2.5</v>
      </c>
      <c r="AX464" s="286">
        <v>2.5</v>
      </c>
      <c r="AY464" s="286">
        <v>2.5</v>
      </c>
      <c r="AZ464" s="286">
        <v>2.5</v>
      </c>
      <c r="BA464" s="286">
        <v>2.5</v>
      </c>
      <c r="BB464" s="286">
        <v>2.5</v>
      </c>
      <c r="BC464" s="286">
        <v>2.5</v>
      </c>
      <c r="BD464" s="286">
        <v>2.5</v>
      </c>
      <c r="BE464" s="287"/>
      <c r="BF464" s="287"/>
      <c r="BG464" s="287">
        <v>2.5</v>
      </c>
      <c r="BH464" s="288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6"/>
      <c r="BY464" s="289"/>
      <c r="BZ464" s="289">
        <v>2.6</v>
      </c>
      <c r="CA464" s="289"/>
      <c r="CB464" s="289"/>
      <c r="CC464" s="289"/>
      <c r="CD464" s="289">
        <v>2.8</v>
      </c>
      <c r="CE464" s="289"/>
      <c r="CF464" s="289"/>
      <c r="CG464" s="287"/>
      <c r="CH464" s="287"/>
      <c r="CI464" s="287"/>
      <c r="CJ464" s="287"/>
      <c r="CK464" s="287"/>
      <c r="CL464" s="287">
        <v>2.8</v>
      </c>
      <c r="CM464" s="292">
        <v>2.5</v>
      </c>
      <c r="CN464" s="287"/>
      <c r="CO464" s="287"/>
      <c r="CP464" s="287"/>
      <c r="CQ464" s="287"/>
      <c r="CR464" s="287"/>
      <c r="CS464" s="288">
        <v>2.2000000000000002</v>
      </c>
      <c r="CT464" s="6"/>
      <c r="CU464" s="6"/>
      <c r="CV464" s="6"/>
      <c r="CW464" s="6"/>
      <c r="CX464" s="6"/>
      <c r="CY464" s="6"/>
      <c r="CZ464" s="6"/>
      <c r="DA464" s="343">
        <f t="shared" si="13"/>
        <v>1.675</v>
      </c>
    </row>
    <row r="465" spans="1:105" ht="20" customHeight="1" x14ac:dyDescent="0.35">
      <c r="A465" s="290">
        <v>520733</v>
      </c>
      <c r="B465" s="270" t="s">
        <v>1528</v>
      </c>
      <c r="C465" s="270" t="s">
        <v>1982</v>
      </c>
      <c r="D465" s="297" t="s">
        <v>627</v>
      </c>
      <c r="E465" s="297" t="s">
        <v>627</v>
      </c>
      <c r="F465" s="270" t="s">
        <v>636</v>
      </c>
      <c r="G465" s="270" t="s">
        <v>39</v>
      </c>
      <c r="H465" s="298">
        <f>1.8*5</f>
        <v>9</v>
      </c>
      <c r="I465" s="292">
        <v>16.5</v>
      </c>
      <c r="J465" s="286"/>
      <c r="K465" s="286"/>
      <c r="L465" s="286"/>
      <c r="M465" s="286"/>
      <c r="N465" s="292">
        <v>2.5</v>
      </c>
      <c r="O465" s="286">
        <v>2.5</v>
      </c>
      <c r="P465" s="292"/>
      <c r="Q465" s="286"/>
      <c r="R465" s="286"/>
      <c r="S465" s="286"/>
      <c r="T465" s="286"/>
      <c r="U465" s="286"/>
      <c r="V465" s="294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>
        <v>2.5</v>
      </c>
      <c r="AK465" s="295">
        <v>2.5</v>
      </c>
      <c r="AL465" s="288"/>
      <c r="AM465" s="287">
        <v>2.6</v>
      </c>
      <c r="AN465" s="287"/>
      <c r="AO465" s="287"/>
      <c r="AP465" s="286">
        <v>2.5</v>
      </c>
      <c r="AQ465" s="296"/>
      <c r="AR465" s="286">
        <v>2.5</v>
      </c>
      <c r="AS465" s="286">
        <v>2.5</v>
      </c>
      <c r="AT465" s="286">
        <v>2.5</v>
      </c>
      <c r="AU465" s="286"/>
      <c r="AV465" s="286">
        <v>2.5</v>
      </c>
      <c r="AW465" s="286">
        <v>2.5</v>
      </c>
      <c r="AX465" s="286">
        <v>2.5</v>
      </c>
      <c r="AY465" s="286">
        <v>2.5</v>
      </c>
      <c r="AZ465" s="286">
        <v>2.5</v>
      </c>
      <c r="BA465" s="286">
        <v>2.5</v>
      </c>
      <c r="BB465" s="286">
        <v>2.5</v>
      </c>
      <c r="BC465" s="286">
        <v>2.5</v>
      </c>
      <c r="BD465" s="286">
        <v>2.5</v>
      </c>
      <c r="BE465" s="287"/>
      <c r="BF465" s="287"/>
      <c r="BG465" s="287">
        <v>2.5</v>
      </c>
      <c r="BH465" s="288"/>
      <c r="BI465" s="287"/>
      <c r="BJ465" s="287"/>
      <c r="BK465" s="287"/>
      <c r="BL465" s="287"/>
      <c r="BM465" s="287"/>
      <c r="BN465" s="287"/>
      <c r="BO465" s="287"/>
      <c r="BP465" s="287"/>
      <c r="BQ465" s="287"/>
      <c r="BR465" s="287"/>
      <c r="BS465" s="287"/>
      <c r="BT465" s="287"/>
      <c r="BU465" s="287"/>
      <c r="BV465" s="287"/>
      <c r="BW465" s="287"/>
      <c r="BX465" s="286">
        <v>2.5</v>
      </c>
      <c r="BY465" s="289"/>
      <c r="BZ465" s="289">
        <v>2.6</v>
      </c>
      <c r="CA465" s="289"/>
      <c r="CB465" s="289"/>
      <c r="CC465" s="289"/>
      <c r="CD465" s="289">
        <v>2.5</v>
      </c>
      <c r="CE465" s="289"/>
      <c r="CF465" s="289"/>
      <c r="CG465" s="287"/>
      <c r="CH465" s="287"/>
      <c r="CI465" s="287"/>
      <c r="CJ465" s="287"/>
      <c r="CK465" s="287"/>
      <c r="CL465" s="287"/>
      <c r="CM465" s="287"/>
      <c r="CN465" s="287"/>
      <c r="CO465" s="287"/>
      <c r="CP465" s="287"/>
      <c r="CQ465" s="287">
        <v>16.5</v>
      </c>
      <c r="CR465" s="287"/>
      <c r="CS465" s="328"/>
      <c r="CT465" s="6"/>
      <c r="CU465" s="6"/>
      <c r="CV465" s="6"/>
      <c r="CW465" s="6"/>
      <c r="CX465" s="6"/>
      <c r="CY465" s="6"/>
      <c r="CZ465" s="6"/>
      <c r="DA465" s="343">
        <f t="shared" si="13"/>
        <v>9</v>
      </c>
    </row>
    <row r="466" spans="1:105" ht="20" customHeight="1" x14ac:dyDescent="0.35">
      <c r="A466" s="290" t="s">
        <v>2104</v>
      </c>
      <c r="B466" s="270" t="s">
        <v>1528</v>
      </c>
      <c r="C466" s="270" t="s">
        <v>1982</v>
      </c>
      <c r="D466" s="297" t="s">
        <v>627</v>
      </c>
      <c r="E466" s="297" t="s">
        <v>627</v>
      </c>
      <c r="F466" s="270" t="s">
        <v>636</v>
      </c>
      <c r="G466" s="270" t="s">
        <v>39</v>
      </c>
      <c r="H466" s="298">
        <f>1.8*5</f>
        <v>9</v>
      </c>
      <c r="I466" s="292"/>
      <c r="J466" s="286"/>
      <c r="K466" s="286"/>
      <c r="L466" s="286"/>
      <c r="M466" s="286"/>
      <c r="N466" s="292"/>
      <c r="O466" s="286"/>
      <c r="P466" s="292"/>
      <c r="Q466" s="286"/>
      <c r="R466" s="286"/>
      <c r="S466" s="286"/>
      <c r="T466" s="286"/>
      <c r="U466" s="286"/>
      <c r="V466" s="294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95"/>
      <c r="AL466" s="288"/>
      <c r="AM466" s="287"/>
      <c r="AN466" s="287"/>
      <c r="AO466" s="287"/>
      <c r="AP466" s="286"/>
      <c r="AQ466" s="296"/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  <c r="BC466" s="286"/>
      <c r="BD466" s="286"/>
      <c r="BE466" s="287"/>
      <c r="BF466" s="287"/>
      <c r="BG466" s="287"/>
      <c r="BH466" s="288"/>
      <c r="BI466" s="287"/>
      <c r="BJ466" s="287"/>
      <c r="BK466" s="287"/>
      <c r="BL466" s="287"/>
      <c r="BM466" s="287"/>
      <c r="BN466" s="287"/>
      <c r="BO466" s="287"/>
      <c r="BP466" s="287"/>
      <c r="BQ466" s="287"/>
      <c r="BR466" s="287"/>
      <c r="BS466" s="287"/>
      <c r="BT466" s="287"/>
      <c r="BU466" s="287"/>
      <c r="BV466" s="287"/>
      <c r="BW466" s="287"/>
      <c r="BX466" s="286"/>
      <c r="BY466" s="289"/>
      <c r="BZ466" s="289"/>
      <c r="CA466" s="289"/>
      <c r="CB466" s="289"/>
      <c r="CC466" s="289"/>
      <c r="CD466" s="289"/>
      <c r="CE466" s="289"/>
      <c r="CF466" s="289"/>
      <c r="CG466" s="287"/>
      <c r="CH466" s="287"/>
      <c r="CI466" s="287"/>
      <c r="CJ466" s="287"/>
      <c r="CK466" s="287"/>
      <c r="CL466" s="287"/>
      <c r="CM466" s="287"/>
      <c r="CN466" s="287"/>
      <c r="CO466" s="287"/>
      <c r="CP466" s="287"/>
      <c r="CQ466" s="287">
        <v>16.5</v>
      </c>
      <c r="CR466" s="287"/>
      <c r="CS466" s="328"/>
      <c r="CT466" s="6"/>
      <c r="CU466" s="6"/>
      <c r="CV466" s="6"/>
      <c r="CW466" s="6"/>
      <c r="CX466" s="6"/>
      <c r="CY466" s="6"/>
      <c r="CZ466" s="6"/>
      <c r="DA466" s="343">
        <f>H466</f>
        <v>9</v>
      </c>
    </row>
    <row r="467" spans="1:105" ht="20" customHeight="1" x14ac:dyDescent="0.35">
      <c r="A467" s="290"/>
      <c r="B467" s="270" t="s">
        <v>1764</v>
      </c>
      <c r="C467" s="270" t="s">
        <v>1765</v>
      </c>
      <c r="D467" s="297" t="s">
        <v>627</v>
      </c>
      <c r="E467" s="297" t="s">
        <v>34</v>
      </c>
      <c r="F467" s="270" t="s">
        <v>1072</v>
      </c>
      <c r="G467" s="270" t="s">
        <v>1672</v>
      </c>
      <c r="H467" s="298">
        <f>1.65*2</f>
        <v>3.3</v>
      </c>
      <c r="I467" s="292"/>
      <c r="J467" s="286"/>
      <c r="K467" s="286"/>
      <c r="L467" s="286"/>
      <c r="M467" s="286"/>
      <c r="N467" s="292"/>
      <c r="O467" s="286"/>
      <c r="P467" s="292"/>
      <c r="Q467" s="286"/>
      <c r="R467" s="286"/>
      <c r="S467" s="286"/>
      <c r="T467" s="286"/>
      <c r="U467" s="286"/>
      <c r="V467" s="294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95"/>
      <c r="AL467" s="288"/>
      <c r="AM467" s="287"/>
      <c r="AN467" s="287"/>
      <c r="AO467" s="287"/>
      <c r="AP467" s="286"/>
      <c r="AQ467" s="296">
        <f>3.8*2</f>
        <v>7.6</v>
      </c>
      <c r="AR467" s="286"/>
      <c r="AS467" s="286"/>
      <c r="AT467" s="286"/>
      <c r="AU467" s="286"/>
      <c r="AV467" s="286"/>
      <c r="AW467" s="286"/>
      <c r="AX467" s="286"/>
      <c r="AY467" s="286"/>
      <c r="AZ467" s="286"/>
      <c r="BA467" s="286"/>
      <c r="BB467" s="286"/>
      <c r="BC467" s="286"/>
      <c r="BD467" s="286"/>
      <c r="BE467" s="287"/>
      <c r="BF467" s="287"/>
      <c r="BG467" s="287"/>
      <c r="BH467" s="288"/>
      <c r="BI467" s="287"/>
      <c r="BJ467" s="287"/>
      <c r="BK467" s="287"/>
      <c r="BL467" s="287"/>
      <c r="BM467" s="287"/>
      <c r="BN467" s="287"/>
      <c r="BO467" s="287"/>
      <c r="BP467" s="287"/>
      <c r="BQ467" s="287"/>
      <c r="BR467" s="287"/>
      <c r="BS467" s="287"/>
      <c r="BT467" s="287"/>
      <c r="BU467" s="287"/>
      <c r="BV467" s="287"/>
      <c r="BW467" s="287"/>
      <c r="BX467" s="286"/>
      <c r="BY467" s="289"/>
      <c r="BZ467" s="289"/>
      <c r="CA467" s="289"/>
      <c r="CB467" s="289"/>
      <c r="CC467" s="289"/>
      <c r="CD467" s="289"/>
      <c r="CE467" s="289"/>
      <c r="CF467" s="289"/>
      <c r="CG467" s="287"/>
      <c r="CH467" s="287"/>
      <c r="CI467" s="287"/>
      <c r="CJ467" s="287"/>
      <c r="CK467" s="287"/>
      <c r="CL467" s="287"/>
      <c r="CM467" s="287"/>
      <c r="CN467" s="287"/>
      <c r="CO467" s="287"/>
      <c r="CP467" s="287"/>
      <c r="CQ467" s="287"/>
      <c r="CR467" s="287"/>
      <c r="CS467" s="328"/>
      <c r="CT467" s="6"/>
      <c r="CU467" s="6"/>
      <c r="CV467" s="6"/>
      <c r="CW467" s="6"/>
      <c r="CX467" s="6"/>
      <c r="CY467" s="6"/>
      <c r="CZ467" s="6"/>
      <c r="DA467" s="343">
        <f t="shared" si="13"/>
        <v>3.3</v>
      </c>
    </row>
    <row r="468" spans="1:105" ht="20" customHeight="1" x14ac:dyDescent="0.35">
      <c r="A468" s="290"/>
      <c r="B468" s="270" t="s">
        <v>2060</v>
      </c>
      <c r="C468" s="270" t="s">
        <v>1982</v>
      </c>
      <c r="D468" s="297" t="s">
        <v>627</v>
      </c>
      <c r="E468" s="297" t="s">
        <v>627</v>
      </c>
      <c r="F468" s="270" t="s">
        <v>66</v>
      </c>
      <c r="G468" s="270" t="s">
        <v>39</v>
      </c>
      <c r="H468" s="298">
        <f>1.8</f>
        <v>1.8</v>
      </c>
      <c r="I468" s="292"/>
      <c r="J468" s="286"/>
      <c r="K468" s="286"/>
      <c r="L468" s="286"/>
      <c r="M468" s="286"/>
      <c r="N468" s="292"/>
      <c r="O468" s="286"/>
      <c r="P468" s="292"/>
      <c r="Q468" s="286"/>
      <c r="R468" s="286"/>
      <c r="S468" s="286"/>
      <c r="T468" s="286"/>
      <c r="U468" s="286"/>
      <c r="V468" s="294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95"/>
      <c r="AL468" s="288"/>
      <c r="AM468" s="287"/>
      <c r="AN468" s="287"/>
      <c r="AO468" s="287"/>
      <c r="AP468" s="286"/>
      <c r="AQ468" s="296">
        <v>3.4</v>
      </c>
      <c r="AR468" s="286"/>
      <c r="AS468" s="286"/>
      <c r="AT468" s="286"/>
      <c r="AU468" s="286"/>
      <c r="AV468" s="286"/>
      <c r="AW468" s="286"/>
      <c r="AX468" s="286"/>
      <c r="AY468" s="286"/>
      <c r="AZ468" s="286"/>
      <c r="BA468" s="286"/>
      <c r="BB468" s="286"/>
      <c r="BC468" s="286"/>
      <c r="BD468" s="286"/>
      <c r="BE468" s="287"/>
      <c r="BF468" s="287"/>
      <c r="BG468" s="287"/>
      <c r="BH468" s="288"/>
      <c r="BI468" s="287"/>
      <c r="BJ468" s="287"/>
      <c r="BK468" s="287"/>
      <c r="BL468" s="287"/>
      <c r="BM468" s="287"/>
      <c r="BN468" s="287"/>
      <c r="BO468" s="287"/>
      <c r="BP468" s="287"/>
      <c r="BQ468" s="287"/>
      <c r="BR468" s="287"/>
      <c r="BS468" s="287"/>
      <c r="BT468" s="287"/>
      <c r="BU468" s="287"/>
      <c r="BV468" s="287"/>
      <c r="BW468" s="287"/>
      <c r="BX468" s="286"/>
      <c r="BY468" s="289"/>
      <c r="BZ468" s="289"/>
      <c r="CA468" s="289"/>
      <c r="CB468" s="289"/>
      <c r="CC468" s="289"/>
      <c r="CD468" s="289"/>
      <c r="CE468" s="289"/>
      <c r="CF468" s="289"/>
      <c r="CG468" s="287"/>
      <c r="CH468" s="287"/>
      <c r="CI468" s="287"/>
      <c r="CJ468" s="287"/>
      <c r="CK468" s="287"/>
      <c r="CL468" s="287"/>
      <c r="CM468" s="287"/>
      <c r="CN468" s="287"/>
      <c r="CO468" s="287"/>
      <c r="CP468" s="287"/>
      <c r="CQ468" s="287"/>
      <c r="CR468" s="287">
        <v>3.8</v>
      </c>
      <c r="CS468" s="328"/>
      <c r="CT468" s="6"/>
      <c r="CU468" s="6"/>
      <c r="CV468" s="6"/>
      <c r="CW468" s="6"/>
      <c r="CX468" s="6"/>
      <c r="CY468" s="6"/>
      <c r="CZ468" s="6"/>
      <c r="DA468" s="343">
        <f>H468</f>
        <v>1.8</v>
      </c>
    </row>
    <row r="469" spans="1:105" ht="20" customHeight="1" x14ac:dyDescent="0.35">
      <c r="A469" s="301"/>
      <c r="B469" s="270" t="s">
        <v>1029</v>
      </c>
      <c r="C469" s="270" t="s">
        <v>1983</v>
      </c>
      <c r="D469" s="297" t="s">
        <v>627</v>
      </c>
      <c r="E469" s="297" t="s">
        <v>627</v>
      </c>
      <c r="F469" s="270" t="s">
        <v>66</v>
      </c>
      <c r="G469" s="270" t="s">
        <v>39</v>
      </c>
      <c r="H469" s="298"/>
      <c r="I469" s="292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94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7"/>
      <c r="AL469" s="288"/>
      <c r="AM469" s="287"/>
      <c r="AN469" s="287"/>
      <c r="AO469" s="287"/>
      <c r="AP469" s="286"/>
      <c r="AQ469" s="29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7"/>
      <c r="BE469" s="287"/>
      <c r="BF469" s="287"/>
      <c r="BG469" s="287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6"/>
      <c r="BY469" s="289"/>
      <c r="BZ469" s="289"/>
      <c r="CA469" s="289"/>
      <c r="CB469" s="289"/>
      <c r="CC469" s="289"/>
      <c r="CD469" s="289"/>
      <c r="CE469" s="289"/>
      <c r="CF469" s="289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6"/>
      <c r="CT469" s="6"/>
      <c r="CU469" s="6"/>
      <c r="CV469" s="6"/>
      <c r="CW469" s="6"/>
      <c r="CX469" s="6"/>
      <c r="CY469" s="6"/>
      <c r="CZ469" s="6"/>
      <c r="DA469" s="343">
        <f>H469</f>
        <v>0</v>
      </c>
    </row>
    <row r="470" spans="1:105" ht="20" customHeight="1" x14ac:dyDescent="0.35">
      <c r="A470" s="290"/>
      <c r="B470" s="270" t="s">
        <v>1030</v>
      </c>
      <c r="C470" s="270" t="s">
        <v>261</v>
      </c>
      <c r="D470" s="297" t="s">
        <v>655</v>
      </c>
      <c r="E470" s="297" t="s">
        <v>655</v>
      </c>
      <c r="F470" s="270" t="s">
        <v>66</v>
      </c>
      <c r="G470" s="270" t="s">
        <v>39</v>
      </c>
      <c r="H470" s="298">
        <v>2.6</v>
      </c>
      <c r="I470" s="292"/>
      <c r="J470" s="286"/>
      <c r="K470" s="286">
        <v>5.5</v>
      </c>
      <c r="L470" s="286"/>
      <c r="M470" s="286"/>
      <c r="N470" s="292">
        <v>5.5</v>
      </c>
      <c r="O470" s="286">
        <v>5.5</v>
      </c>
      <c r="P470" s="292">
        <v>5.5</v>
      </c>
      <c r="Q470" s="286">
        <v>5.5</v>
      </c>
      <c r="R470" s="286"/>
      <c r="S470" s="286">
        <v>5.5</v>
      </c>
      <c r="T470" s="286"/>
      <c r="U470" s="286"/>
      <c r="V470" s="294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7">
        <v>5.5</v>
      </c>
      <c r="AL470" s="288"/>
      <c r="AM470" s="287">
        <v>5.5</v>
      </c>
      <c r="AN470" s="287"/>
      <c r="AO470" s="287"/>
      <c r="AP470" s="286"/>
      <c r="AQ470" s="296">
        <v>5.5</v>
      </c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  <c r="BC470" s="286"/>
      <c r="BD470" s="287"/>
      <c r="BE470" s="287"/>
      <c r="BF470" s="287"/>
      <c r="BG470" s="288">
        <v>5.5</v>
      </c>
      <c r="BH470" s="287"/>
      <c r="BI470" s="287"/>
      <c r="BJ470" s="287"/>
      <c r="BK470" s="287"/>
      <c r="BL470" s="287"/>
      <c r="BM470" s="287"/>
      <c r="BN470" s="287"/>
      <c r="BO470" s="287"/>
      <c r="BP470" s="287"/>
      <c r="BQ470" s="287"/>
      <c r="BR470" s="287"/>
      <c r="BS470" s="287"/>
      <c r="BT470" s="287"/>
      <c r="BU470" s="287"/>
      <c r="BV470" s="287"/>
      <c r="BW470" s="287"/>
      <c r="BX470" s="286"/>
      <c r="BY470" s="289"/>
      <c r="BZ470" s="289">
        <v>5.5</v>
      </c>
      <c r="CA470" s="289"/>
      <c r="CB470" s="289"/>
      <c r="CC470" s="289"/>
      <c r="CD470" s="289"/>
      <c r="CE470" s="289"/>
      <c r="CF470" s="289"/>
      <c r="CG470" s="287"/>
      <c r="CH470" s="287"/>
      <c r="CI470" s="287"/>
      <c r="CJ470" s="287"/>
      <c r="CK470" s="287"/>
      <c r="CL470" s="287">
        <v>5.5</v>
      </c>
      <c r="CM470" s="287"/>
      <c r="CN470" s="287"/>
      <c r="CO470" s="287"/>
      <c r="CP470" s="287"/>
      <c r="CQ470" s="287"/>
      <c r="CR470" s="287"/>
      <c r="CS470" s="6"/>
      <c r="CT470" s="6"/>
      <c r="CU470" s="6"/>
      <c r="CV470" s="6"/>
      <c r="CW470" s="6"/>
      <c r="CX470" s="6"/>
      <c r="CY470" s="6"/>
      <c r="CZ470" s="6"/>
      <c r="DA470" s="343">
        <f t="shared" ref="DA470:DA521" si="16">H470</f>
        <v>2.6</v>
      </c>
    </row>
    <row r="471" spans="1:105" ht="20" customHeight="1" x14ac:dyDescent="0.35">
      <c r="A471" s="290"/>
      <c r="B471" s="270" t="s">
        <v>1782</v>
      </c>
      <c r="C471" s="270" t="s">
        <v>1984</v>
      </c>
      <c r="D471" s="297" t="s">
        <v>655</v>
      </c>
      <c r="E471" s="297" t="s">
        <v>655</v>
      </c>
      <c r="F471" s="270" t="s">
        <v>66</v>
      </c>
      <c r="G471" s="270" t="s">
        <v>39</v>
      </c>
      <c r="H471" s="298">
        <v>2.6</v>
      </c>
      <c r="I471" s="292"/>
      <c r="J471" s="286"/>
      <c r="K471" s="286"/>
      <c r="L471" s="286"/>
      <c r="M471" s="286"/>
      <c r="N471" s="292"/>
      <c r="O471" s="286"/>
      <c r="P471" s="292"/>
      <c r="Q471" s="286"/>
      <c r="R471" s="286"/>
      <c r="S471" s="286"/>
      <c r="T471" s="286"/>
      <c r="U471" s="286"/>
      <c r="V471" s="294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7"/>
      <c r="AL471" s="288"/>
      <c r="AM471" s="287"/>
      <c r="AN471" s="287"/>
      <c r="AO471" s="287"/>
      <c r="AP471" s="286"/>
      <c r="AQ471" s="296">
        <v>6.8</v>
      </c>
      <c r="AR471" s="286"/>
      <c r="AS471" s="286"/>
      <c r="AT471" s="286"/>
      <c r="AU471" s="286"/>
      <c r="AV471" s="286"/>
      <c r="AW471" s="286"/>
      <c r="AX471" s="286"/>
      <c r="AY471" s="286"/>
      <c r="AZ471" s="286"/>
      <c r="BA471" s="286"/>
      <c r="BB471" s="286"/>
      <c r="BC471" s="286"/>
      <c r="BD471" s="287"/>
      <c r="BE471" s="287"/>
      <c r="BF471" s="287"/>
      <c r="BG471" s="288"/>
      <c r="BH471" s="287"/>
      <c r="BI471" s="287"/>
      <c r="BJ471" s="287"/>
      <c r="BK471" s="287"/>
      <c r="BL471" s="287"/>
      <c r="BM471" s="287"/>
      <c r="BN471" s="287"/>
      <c r="BO471" s="287"/>
      <c r="BP471" s="287"/>
      <c r="BQ471" s="287"/>
      <c r="BR471" s="287"/>
      <c r="BS471" s="287"/>
      <c r="BT471" s="287"/>
      <c r="BU471" s="287"/>
      <c r="BV471" s="287"/>
      <c r="BW471" s="287"/>
      <c r="BX471" s="286"/>
      <c r="BY471" s="289"/>
      <c r="BZ471" s="289"/>
      <c r="CA471" s="289"/>
      <c r="CB471" s="289"/>
      <c r="CC471" s="289"/>
      <c r="CD471" s="289"/>
      <c r="CE471" s="289"/>
      <c r="CF471" s="289"/>
      <c r="CG471" s="287"/>
      <c r="CH471" s="287"/>
      <c r="CI471" s="287"/>
      <c r="CJ471" s="287"/>
      <c r="CK471" s="287"/>
      <c r="CL471" s="287"/>
      <c r="CM471" s="287"/>
      <c r="CN471" s="287"/>
      <c r="CO471" s="287"/>
      <c r="CP471" s="287"/>
      <c r="CQ471" s="287"/>
      <c r="CR471" s="287">
        <v>7</v>
      </c>
      <c r="CS471" s="6"/>
      <c r="CT471" s="6"/>
      <c r="CU471" s="6"/>
      <c r="CV471" s="6"/>
      <c r="CW471" s="6"/>
      <c r="CX471" s="6"/>
      <c r="CY471" s="6"/>
      <c r="CZ471" s="6"/>
      <c r="DA471" s="343">
        <f t="shared" si="16"/>
        <v>2.6</v>
      </c>
    </row>
    <row r="472" spans="1:105" ht="20" customHeight="1" x14ac:dyDescent="0.35">
      <c r="A472" s="290" t="s">
        <v>68</v>
      </c>
      <c r="B472" s="270" t="s">
        <v>1031</v>
      </c>
      <c r="C472" s="270" t="s">
        <v>261</v>
      </c>
      <c r="D472" s="297" t="s">
        <v>627</v>
      </c>
      <c r="E472" s="297" t="s">
        <v>627</v>
      </c>
      <c r="F472" s="270" t="s">
        <v>66</v>
      </c>
      <c r="G472" s="270" t="s">
        <v>39</v>
      </c>
      <c r="H472" s="298">
        <v>2</v>
      </c>
      <c r="I472" s="292">
        <v>4</v>
      </c>
      <c r="J472" s="292">
        <v>3</v>
      </c>
      <c r="K472" s="286"/>
      <c r="L472" s="286"/>
      <c r="M472" s="286"/>
      <c r="N472" s="286"/>
      <c r="O472" s="286">
        <v>3.2</v>
      </c>
      <c r="P472" s="286">
        <v>3.5</v>
      </c>
      <c r="Q472" s="286"/>
      <c r="R472" s="286"/>
      <c r="S472" s="286"/>
      <c r="T472" s="286">
        <v>3</v>
      </c>
      <c r="U472" s="286"/>
      <c r="V472" s="294"/>
      <c r="W472" s="286"/>
      <c r="X472" s="286"/>
      <c r="Y472" s="286"/>
      <c r="Z472" s="286"/>
      <c r="AA472" s="286"/>
      <c r="AB472" s="286"/>
      <c r="AC472" s="286">
        <v>3.5</v>
      </c>
      <c r="AD472" s="286"/>
      <c r="AE472" s="286"/>
      <c r="AF472" s="286"/>
      <c r="AG472" s="286"/>
      <c r="AH472" s="286"/>
      <c r="AI472" s="286"/>
      <c r="AJ472" s="286">
        <v>3.5</v>
      </c>
      <c r="AK472" s="295">
        <v>3.5</v>
      </c>
      <c r="AL472" s="288"/>
      <c r="AM472" s="287"/>
      <c r="AN472" s="287"/>
      <c r="AO472" s="287"/>
      <c r="AP472" s="286">
        <v>3</v>
      </c>
      <c r="AQ472" s="296">
        <v>3.5</v>
      </c>
      <c r="AR472" s="286">
        <v>3</v>
      </c>
      <c r="AS472" s="286"/>
      <c r="AT472" s="286">
        <v>3</v>
      </c>
      <c r="AU472" s="286">
        <v>3</v>
      </c>
      <c r="AV472" s="286">
        <v>3</v>
      </c>
      <c r="AW472" s="286">
        <v>3</v>
      </c>
      <c r="AX472" s="286">
        <v>3</v>
      </c>
      <c r="AY472" s="286">
        <v>3</v>
      </c>
      <c r="AZ472" s="286">
        <v>3</v>
      </c>
      <c r="BA472" s="286">
        <v>3</v>
      </c>
      <c r="BB472" s="286">
        <f>BA472</f>
        <v>3</v>
      </c>
      <c r="BC472" s="286">
        <v>3</v>
      </c>
      <c r="BD472" s="287"/>
      <c r="BE472" s="287"/>
      <c r="BF472" s="287"/>
      <c r="BG472" s="288">
        <v>3.5</v>
      </c>
      <c r="BH472" s="287"/>
      <c r="BI472" s="287"/>
      <c r="BJ472" s="287"/>
      <c r="BK472" s="287"/>
      <c r="BL472" s="287"/>
      <c r="BM472" s="287"/>
      <c r="BN472" s="287"/>
      <c r="BO472" s="287"/>
      <c r="BP472" s="287"/>
      <c r="BQ472" s="287"/>
      <c r="BR472" s="287"/>
      <c r="BS472" s="287"/>
      <c r="BT472" s="287"/>
      <c r="BU472" s="287"/>
      <c r="BV472" s="287"/>
      <c r="BW472" s="287"/>
      <c r="BX472" s="286">
        <v>3</v>
      </c>
      <c r="BY472" s="289"/>
      <c r="BZ472" s="289"/>
      <c r="CA472" s="289"/>
      <c r="CB472" s="289"/>
      <c r="CC472" s="289"/>
      <c r="CD472" s="289"/>
      <c r="CE472" s="289"/>
      <c r="CF472" s="289"/>
      <c r="CG472" s="287"/>
      <c r="CH472" s="287"/>
      <c r="CI472" s="287"/>
      <c r="CJ472" s="287"/>
      <c r="CK472" s="287"/>
      <c r="CL472" s="287">
        <v>3</v>
      </c>
      <c r="CM472" s="287"/>
      <c r="CN472" s="287"/>
      <c r="CO472" s="287"/>
      <c r="CP472" s="287"/>
      <c r="CQ472" s="287"/>
      <c r="CR472" s="287"/>
      <c r="CS472" s="288">
        <v>4</v>
      </c>
      <c r="CT472" s="6"/>
      <c r="CU472" s="6"/>
      <c r="CV472" s="6"/>
      <c r="CW472" s="6"/>
      <c r="CX472" s="6"/>
      <c r="CY472" s="6"/>
      <c r="CZ472" s="6"/>
      <c r="DA472" s="343">
        <f t="shared" si="16"/>
        <v>2</v>
      </c>
    </row>
    <row r="473" spans="1:105" ht="20" customHeight="1" x14ac:dyDescent="0.35">
      <c r="A473" s="290"/>
      <c r="B473" s="270" t="s">
        <v>2197</v>
      </c>
      <c r="C473" s="270" t="s">
        <v>1984</v>
      </c>
      <c r="D473" s="297" t="s">
        <v>627</v>
      </c>
      <c r="E473" s="297" t="s">
        <v>627</v>
      </c>
      <c r="F473" s="270" t="s">
        <v>66</v>
      </c>
      <c r="G473" s="270" t="s">
        <v>39</v>
      </c>
      <c r="H473" s="298">
        <v>2</v>
      </c>
      <c r="I473" s="292"/>
      <c r="J473" s="292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94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95"/>
      <c r="AL473" s="288"/>
      <c r="AM473" s="287"/>
      <c r="AN473" s="287"/>
      <c r="AO473" s="287"/>
      <c r="AP473" s="286"/>
      <c r="AQ473" s="29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  <c r="BD473" s="287"/>
      <c r="BE473" s="287"/>
      <c r="BF473" s="287"/>
      <c r="BG473" s="288"/>
      <c r="BH473" s="287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6"/>
      <c r="BY473" s="289"/>
      <c r="BZ473" s="289"/>
      <c r="CA473" s="289"/>
      <c r="CB473" s="289"/>
      <c r="CC473" s="289"/>
      <c r="CD473" s="289"/>
      <c r="CE473" s="289"/>
      <c r="CF473" s="289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>
        <v>5</v>
      </c>
      <c r="CS473" s="288">
        <v>4</v>
      </c>
      <c r="CT473" s="6"/>
      <c r="CU473" s="6"/>
      <c r="CV473" s="6"/>
      <c r="CW473" s="6"/>
      <c r="CX473" s="6"/>
      <c r="CY473" s="6"/>
      <c r="CZ473" s="6"/>
      <c r="DA473" s="343">
        <f t="shared" ref="DA473" si="17">H473</f>
        <v>2</v>
      </c>
    </row>
    <row r="474" spans="1:105" ht="20" customHeight="1" x14ac:dyDescent="0.35">
      <c r="A474" s="290">
        <v>4000006639</v>
      </c>
      <c r="B474" s="270" t="s">
        <v>1032</v>
      </c>
      <c r="C474" s="270" t="s">
        <v>1984</v>
      </c>
      <c r="D474" s="270" t="s">
        <v>330</v>
      </c>
      <c r="E474" s="297" t="s">
        <v>655</v>
      </c>
      <c r="F474" s="270" t="s">
        <v>66</v>
      </c>
      <c r="G474" s="270" t="s">
        <v>39</v>
      </c>
      <c r="H474" s="298">
        <v>6.2</v>
      </c>
      <c r="I474" s="286">
        <v>5</v>
      </c>
      <c r="J474" s="286"/>
      <c r="K474" s="286">
        <v>6.5</v>
      </c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94"/>
      <c r="W474" s="286"/>
      <c r="X474" s="286">
        <v>7</v>
      </c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7"/>
      <c r="AL474" s="288"/>
      <c r="AM474" s="287"/>
      <c r="AN474" s="287"/>
      <c r="AO474" s="287"/>
      <c r="AP474" s="286"/>
      <c r="AQ474" s="296"/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  <c r="BC474" s="286"/>
      <c r="BD474" s="287"/>
      <c r="BE474" s="287"/>
      <c r="BF474" s="287"/>
      <c r="BG474" s="287"/>
      <c r="BH474" s="287"/>
      <c r="BI474" s="287"/>
      <c r="BJ474" s="287"/>
      <c r="BK474" s="287"/>
      <c r="BL474" s="287"/>
      <c r="BM474" s="287"/>
      <c r="BN474" s="287"/>
      <c r="BO474" s="287"/>
      <c r="BP474" s="287"/>
      <c r="BQ474" s="287"/>
      <c r="BR474" s="287"/>
      <c r="BS474" s="287"/>
      <c r="BT474" s="287"/>
      <c r="BU474" s="287"/>
      <c r="BV474" s="287"/>
      <c r="BW474" s="287"/>
      <c r="BX474" s="286"/>
      <c r="BY474" s="289"/>
      <c r="BZ474" s="289"/>
      <c r="CA474" s="289"/>
      <c r="CB474" s="289"/>
      <c r="CC474" s="289"/>
      <c r="CD474" s="289"/>
      <c r="CE474" s="289"/>
      <c r="CF474" s="289"/>
      <c r="CG474" s="287"/>
      <c r="CH474" s="287"/>
      <c r="CI474" s="287"/>
      <c r="CJ474" s="287"/>
      <c r="CK474" s="287"/>
      <c r="CL474" s="287"/>
      <c r="CM474" s="287"/>
      <c r="CN474" s="287"/>
      <c r="CO474" s="287"/>
      <c r="CP474" s="287"/>
      <c r="CQ474" s="287"/>
      <c r="CR474" s="287"/>
      <c r="CS474" s="6"/>
      <c r="CT474" s="6"/>
      <c r="CU474" s="6"/>
      <c r="CV474" s="6"/>
      <c r="CW474" s="6"/>
      <c r="CX474" s="6"/>
      <c r="CY474" s="6"/>
      <c r="CZ474" s="6"/>
      <c r="DA474" s="343">
        <f t="shared" si="16"/>
        <v>6.2</v>
      </c>
    </row>
    <row r="475" spans="1:105" ht="20" customHeight="1" x14ac:dyDescent="0.35">
      <c r="A475" s="290"/>
      <c r="B475" s="270" t="s">
        <v>1766</v>
      </c>
      <c r="C475" s="270" t="s">
        <v>1767</v>
      </c>
      <c r="D475" s="270" t="s">
        <v>330</v>
      </c>
      <c r="E475" s="297" t="s">
        <v>655</v>
      </c>
      <c r="F475" s="270" t="s">
        <v>1072</v>
      </c>
      <c r="G475" s="270" t="s">
        <v>39</v>
      </c>
      <c r="H475" s="298">
        <v>4.4000000000000004</v>
      </c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94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7"/>
      <c r="AL475" s="288"/>
      <c r="AM475" s="287"/>
      <c r="AN475" s="287"/>
      <c r="AO475" s="287"/>
      <c r="AP475" s="286"/>
      <c r="AQ475" s="296">
        <v>10.4</v>
      </c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  <c r="BC475" s="286"/>
      <c r="BD475" s="287"/>
      <c r="BE475" s="287"/>
      <c r="BF475" s="287"/>
      <c r="BG475" s="287"/>
      <c r="BH475" s="287"/>
      <c r="BI475" s="287"/>
      <c r="BJ475" s="287"/>
      <c r="BK475" s="287"/>
      <c r="BL475" s="287"/>
      <c r="BM475" s="287"/>
      <c r="BN475" s="287"/>
      <c r="BO475" s="287"/>
      <c r="BP475" s="287"/>
      <c r="BQ475" s="287"/>
      <c r="BR475" s="287"/>
      <c r="BS475" s="287"/>
      <c r="BT475" s="287"/>
      <c r="BU475" s="287"/>
      <c r="BV475" s="287"/>
      <c r="BW475" s="287"/>
      <c r="BX475" s="286"/>
      <c r="BY475" s="289"/>
      <c r="BZ475" s="289"/>
      <c r="CA475" s="289"/>
      <c r="CB475" s="289"/>
      <c r="CC475" s="289"/>
      <c r="CD475" s="289"/>
      <c r="CE475" s="289"/>
      <c r="CF475" s="289"/>
      <c r="CG475" s="287"/>
      <c r="CH475" s="287"/>
      <c r="CI475" s="287"/>
      <c r="CJ475" s="287"/>
      <c r="CK475" s="287"/>
      <c r="CL475" s="287"/>
      <c r="CM475" s="287"/>
      <c r="CN475" s="287"/>
      <c r="CO475" s="287"/>
      <c r="CP475" s="287"/>
      <c r="CQ475" s="287"/>
      <c r="CR475" s="287"/>
      <c r="CS475" s="6"/>
      <c r="CT475" s="6"/>
      <c r="CU475" s="6"/>
      <c r="CV475" s="6"/>
      <c r="CW475" s="6"/>
      <c r="CX475" s="6"/>
      <c r="CY475" s="6"/>
      <c r="CZ475" s="6"/>
      <c r="DA475" s="343">
        <f t="shared" si="16"/>
        <v>4.4000000000000004</v>
      </c>
    </row>
    <row r="476" spans="1:105" ht="20" customHeight="1" x14ac:dyDescent="0.35">
      <c r="A476" s="290">
        <v>520731</v>
      </c>
      <c r="B476" s="270" t="s">
        <v>1033</v>
      </c>
      <c r="C476" s="270" t="s">
        <v>262</v>
      </c>
      <c r="D476" s="297" t="s">
        <v>627</v>
      </c>
      <c r="E476" s="270" t="s">
        <v>34</v>
      </c>
      <c r="F476" s="270" t="s">
        <v>66</v>
      </c>
      <c r="G476" s="270" t="s">
        <v>39</v>
      </c>
      <c r="H476" s="298">
        <v>1.1000000000000001</v>
      </c>
      <c r="I476" s="292">
        <v>1.8</v>
      </c>
      <c r="J476" s="292">
        <v>1.8</v>
      </c>
      <c r="K476" s="286"/>
      <c r="L476" s="286"/>
      <c r="M476" s="286"/>
      <c r="N476" s="286"/>
      <c r="O476" s="286">
        <v>2</v>
      </c>
      <c r="P476" s="292">
        <v>1.8</v>
      </c>
      <c r="Q476" s="286">
        <v>1.8</v>
      </c>
      <c r="R476" s="286"/>
      <c r="S476" s="286">
        <v>2.5</v>
      </c>
      <c r="T476" s="286">
        <v>1.8</v>
      </c>
      <c r="U476" s="286">
        <v>1.8</v>
      </c>
      <c r="V476" s="294"/>
      <c r="W476" s="286"/>
      <c r="X476" s="286"/>
      <c r="Y476" s="286">
        <v>2</v>
      </c>
      <c r="Z476" s="286"/>
      <c r="AA476" s="286"/>
      <c r="AB476" s="286"/>
      <c r="AC476" s="286">
        <v>2</v>
      </c>
      <c r="AD476" s="286"/>
      <c r="AE476" s="286">
        <v>2</v>
      </c>
      <c r="AF476" s="286"/>
      <c r="AG476" s="286"/>
      <c r="AH476" s="286"/>
      <c r="AI476" s="286"/>
      <c r="AJ476" s="286"/>
      <c r="AK476" s="295">
        <v>2.2000000000000002</v>
      </c>
      <c r="AL476" s="288"/>
      <c r="AM476" s="287">
        <v>2</v>
      </c>
      <c r="AN476" s="287"/>
      <c r="AO476" s="286">
        <v>1.8</v>
      </c>
      <c r="AP476" s="286">
        <v>1.8</v>
      </c>
      <c r="AQ476" s="296">
        <v>2.2000000000000002</v>
      </c>
      <c r="AR476" s="286">
        <v>1.8</v>
      </c>
      <c r="AS476" s="286"/>
      <c r="AT476" s="286">
        <v>1.8</v>
      </c>
      <c r="AU476" s="286">
        <v>1.8</v>
      </c>
      <c r="AV476" s="286">
        <v>1.8</v>
      </c>
      <c r="AW476" s="286">
        <v>1.8</v>
      </c>
      <c r="AX476" s="286">
        <v>1.8</v>
      </c>
      <c r="AY476" s="286">
        <v>1.8</v>
      </c>
      <c r="AZ476" s="286">
        <v>1.8</v>
      </c>
      <c r="BA476" s="286">
        <v>1.8</v>
      </c>
      <c r="BB476" s="286">
        <f>BA476</f>
        <v>1.8</v>
      </c>
      <c r="BC476" s="286">
        <v>1.5</v>
      </c>
      <c r="BD476" s="287"/>
      <c r="BE476" s="287"/>
      <c r="BF476" s="287"/>
      <c r="BG476" s="288">
        <v>2</v>
      </c>
      <c r="BH476" s="287"/>
      <c r="BI476" s="287"/>
      <c r="BJ476" s="287"/>
      <c r="BK476" s="287"/>
      <c r="BL476" s="287"/>
      <c r="BM476" s="287"/>
      <c r="BN476" s="287"/>
      <c r="BO476" s="287"/>
      <c r="BP476" s="287"/>
      <c r="BQ476" s="287"/>
      <c r="BR476" s="287"/>
      <c r="BS476" s="287"/>
      <c r="BT476" s="287"/>
      <c r="BU476" s="287">
        <v>1.8</v>
      </c>
      <c r="BV476" s="287"/>
      <c r="BW476" s="287"/>
      <c r="BX476" s="286">
        <f>J476</f>
        <v>1.8</v>
      </c>
      <c r="BY476" s="289"/>
      <c r="BZ476" s="289">
        <v>2</v>
      </c>
      <c r="CA476" s="289"/>
      <c r="CB476" s="289"/>
      <c r="CC476" s="289"/>
      <c r="CD476" s="289"/>
      <c r="CE476" s="289"/>
      <c r="CF476" s="289"/>
      <c r="CG476" s="287"/>
      <c r="CH476" s="287"/>
      <c r="CI476" s="287"/>
      <c r="CJ476" s="287"/>
      <c r="CK476" s="287"/>
      <c r="CL476" s="287"/>
      <c r="CM476" s="292">
        <v>1.8</v>
      </c>
      <c r="CN476" s="292">
        <v>1.8</v>
      </c>
      <c r="CO476" s="292">
        <v>1.8</v>
      </c>
      <c r="CP476" s="287"/>
      <c r="CQ476" s="287">
        <v>2</v>
      </c>
      <c r="CR476" s="292">
        <v>2.2000000000000002</v>
      </c>
      <c r="CS476" s="288">
        <v>1.8</v>
      </c>
      <c r="CT476" s="6"/>
      <c r="CU476" s="6"/>
      <c r="CV476" s="6"/>
      <c r="CW476" s="6"/>
      <c r="CX476" s="6"/>
      <c r="CY476" s="6"/>
      <c r="CZ476" s="6"/>
      <c r="DA476" s="343">
        <f t="shared" si="16"/>
        <v>1.1000000000000001</v>
      </c>
    </row>
    <row r="477" spans="1:105" ht="20" customHeight="1" x14ac:dyDescent="0.35">
      <c r="A477" s="290" t="s">
        <v>2109</v>
      </c>
      <c r="B477" s="270" t="s">
        <v>1033</v>
      </c>
      <c r="C477" s="270" t="s">
        <v>262</v>
      </c>
      <c r="D477" s="297" t="s">
        <v>627</v>
      </c>
      <c r="E477" s="270" t="s">
        <v>34</v>
      </c>
      <c r="F477" s="270" t="s">
        <v>66</v>
      </c>
      <c r="G477" s="270" t="s">
        <v>39</v>
      </c>
      <c r="H477" s="298">
        <v>1.1000000000000001</v>
      </c>
      <c r="I477" s="292">
        <v>1.8</v>
      </c>
      <c r="J477" s="292">
        <v>1.8</v>
      </c>
      <c r="K477" s="286"/>
      <c r="L477" s="286"/>
      <c r="M477" s="286"/>
      <c r="N477" s="286"/>
      <c r="O477" s="286">
        <v>2</v>
      </c>
      <c r="P477" s="292">
        <v>1.8</v>
      </c>
      <c r="Q477" s="286">
        <v>1.8</v>
      </c>
      <c r="R477" s="286"/>
      <c r="S477" s="286">
        <v>2.5</v>
      </c>
      <c r="T477" s="286">
        <v>1.8</v>
      </c>
      <c r="U477" s="286"/>
      <c r="V477" s="294"/>
      <c r="W477" s="286"/>
      <c r="X477" s="286"/>
      <c r="Y477" s="286">
        <v>2</v>
      </c>
      <c r="Z477" s="286"/>
      <c r="AA477" s="286"/>
      <c r="AB477" s="286"/>
      <c r="AC477" s="286">
        <v>2</v>
      </c>
      <c r="AD477" s="286"/>
      <c r="AE477" s="286">
        <v>2</v>
      </c>
      <c r="AF477" s="286"/>
      <c r="AG477" s="286"/>
      <c r="AH477" s="286"/>
      <c r="AI477" s="286"/>
      <c r="AJ477" s="286"/>
      <c r="AK477" s="295">
        <v>2.2000000000000002</v>
      </c>
      <c r="AL477" s="288"/>
      <c r="AM477" s="287">
        <v>2</v>
      </c>
      <c r="AN477" s="287"/>
      <c r="AO477" s="286">
        <v>1.8</v>
      </c>
      <c r="AP477" s="286">
        <v>1.8</v>
      </c>
      <c r="AQ477" s="296">
        <v>2.2000000000000002</v>
      </c>
      <c r="AR477" s="286">
        <v>1.8</v>
      </c>
      <c r="AS477" s="286"/>
      <c r="AT477" s="286">
        <v>1.8</v>
      </c>
      <c r="AU477" s="286">
        <v>1.8</v>
      </c>
      <c r="AV477" s="286">
        <v>1.8</v>
      </c>
      <c r="AW477" s="286">
        <v>1.8</v>
      </c>
      <c r="AX477" s="286">
        <v>1.8</v>
      </c>
      <c r="AY477" s="286">
        <v>1.8</v>
      </c>
      <c r="AZ477" s="286">
        <v>1.8</v>
      </c>
      <c r="BA477" s="286">
        <v>1.8</v>
      </c>
      <c r="BB477" s="286">
        <f>BA477</f>
        <v>1.8</v>
      </c>
      <c r="BC477" s="286">
        <v>1.5</v>
      </c>
      <c r="BD477" s="287"/>
      <c r="BE477" s="287"/>
      <c r="BF477" s="287"/>
      <c r="BG477" s="288">
        <v>2</v>
      </c>
      <c r="BH477" s="287"/>
      <c r="BI477" s="287"/>
      <c r="BJ477" s="287"/>
      <c r="BK477" s="287"/>
      <c r="BL477" s="287"/>
      <c r="BM477" s="287"/>
      <c r="BN477" s="287"/>
      <c r="BO477" s="287"/>
      <c r="BP477" s="287"/>
      <c r="BQ477" s="287"/>
      <c r="BR477" s="287"/>
      <c r="BS477" s="287"/>
      <c r="BT477" s="287"/>
      <c r="BU477" s="287">
        <v>1.8</v>
      </c>
      <c r="BV477" s="287"/>
      <c r="BW477" s="287"/>
      <c r="BX477" s="286">
        <f>J477</f>
        <v>1.8</v>
      </c>
      <c r="BY477" s="289"/>
      <c r="BZ477" s="289">
        <v>2</v>
      </c>
      <c r="CA477" s="289"/>
      <c r="CB477" s="289"/>
      <c r="CC477" s="289"/>
      <c r="CD477" s="289"/>
      <c r="CE477" s="289"/>
      <c r="CF477" s="289"/>
      <c r="CG477" s="287"/>
      <c r="CH477" s="287"/>
      <c r="CI477" s="287"/>
      <c r="CJ477" s="287"/>
      <c r="CK477" s="287"/>
      <c r="CL477" s="287"/>
      <c r="CM477" s="292">
        <v>1.8</v>
      </c>
      <c r="CN477" s="287"/>
      <c r="CO477" s="292">
        <v>1.8</v>
      </c>
      <c r="CP477" s="287"/>
      <c r="CQ477" s="287">
        <v>2</v>
      </c>
      <c r="CR477" s="292"/>
      <c r="CS477" s="288">
        <v>1.8</v>
      </c>
      <c r="CT477" s="6"/>
      <c r="CU477" s="6"/>
      <c r="CV477" s="6"/>
      <c r="CW477" s="6"/>
      <c r="CX477" s="6"/>
      <c r="CY477" s="6"/>
      <c r="CZ477" s="6"/>
      <c r="DA477" s="343">
        <f>H477</f>
        <v>1.1000000000000001</v>
      </c>
    </row>
    <row r="478" spans="1:105" ht="20" customHeight="1" x14ac:dyDescent="0.35">
      <c r="A478" s="290">
        <v>520726</v>
      </c>
      <c r="B478" s="270" t="s">
        <v>1034</v>
      </c>
      <c r="C478" s="270" t="s">
        <v>326</v>
      </c>
      <c r="D478" s="297" t="s">
        <v>627</v>
      </c>
      <c r="E478" s="270" t="s">
        <v>34</v>
      </c>
      <c r="F478" s="270" t="s">
        <v>66</v>
      </c>
      <c r="G478" s="270" t="s">
        <v>39</v>
      </c>
      <c r="H478" s="298">
        <v>1.8</v>
      </c>
      <c r="I478" s="300">
        <v>2.8</v>
      </c>
      <c r="J478" s="292">
        <v>2.8</v>
      </c>
      <c r="K478" s="286"/>
      <c r="L478" s="286"/>
      <c r="M478" s="286"/>
      <c r="N478" s="292">
        <v>2.8</v>
      </c>
      <c r="O478" s="286">
        <v>2.8</v>
      </c>
      <c r="P478" s="292">
        <v>2.8</v>
      </c>
      <c r="Q478" s="286">
        <v>2.8</v>
      </c>
      <c r="R478" s="286"/>
      <c r="S478" s="286">
        <v>2.8</v>
      </c>
      <c r="T478" s="286">
        <v>2.8</v>
      </c>
      <c r="U478" s="292">
        <v>2.8</v>
      </c>
      <c r="V478" s="294"/>
      <c r="W478" s="286"/>
      <c r="X478" s="286"/>
      <c r="Y478" s="286"/>
      <c r="Z478" s="286"/>
      <c r="AA478" s="286"/>
      <c r="AB478" s="286"/>
      <c r="AC478" s="286">
        <v>2.8</v>
      </c>
      <c r="AD478" s="286"/>
      <c r="AE478" s="286"/>
      <c r="AF478" s="286"/>
      <c r="AG478" s="286"/>
      <c r="AH478" s="286"/>
      <c r="AI478" s="286"/>
      <c r="AJ478" s="286"/>
      <c r="AK478" s="295">
        <v>2.8</v>
      </c>
      <c r="AL478" s="288"/>
      <c r="AM478" s="287"/>
      <c r="AN478" s="287"/>
      <c r="AO478" s="286">
        <v>2.8</v>
      </c>
      <c r="AP478" s="286">
        <v>2.8</v>
      </c>
      <c r="AQ478" s="296">
        <v>2.8</v>
      </c>
      <c r="AR478" s="286">
        <v>2.8</v>
      </c>
      <c r="AS478" s="286"/>
      <c r="AT478" s="286">
        <v>2.8</v>
      </c>
      <c r="AU478" s="286">
        <v>2.8</v>
      </c>
      <c r="AV478" s="286">
        <v>2.8</v>
      </c>
      <c r="AW478" s="286">
        <v>2.8</v>
      </c>
      <c r="AX478" s="286">
        <v>2.8</v>
      </c>
      <c r="AY478" s="286">
        <v>2.8</v>
      </c>
      <c r="AZ478" s="286">
        <v>2.8</v>
      </c>
      <c r="BA478" s="286">
        <v>2.8</v>
      </c>
      <c r="BB478" s="286">
        <f>BA478</f>
        <v>2.8</v>
      </c>
      <c r="BC478" s="286">
        <v>2.8</v>
      </c>
      <c r="BD478" s="287"/>
      <c r="BE478" s="287"/>
      <c r="BF478" s="287"/>
      <c r="BG478" s="288">
        <v>4</v>
      </c>
      <c r="BH478" s="287"/>
      <c r="BI478" s="287"/>
      <c r="BJ478" s="287"/>
      <c r="BK478" s="287"/>
      <c r="BL478" s="287"/>
      <c r="BM478" s="287"/>
      <c r="BN478" s="287"/>
      <c r="BO478" s="287"/>
      <c r="BP478" s="287"/>
      <c r="BQ478" s="287"/>
      <c r="BR478" s="287"/>
      <c r="BS478" s="287"/>
      <c r="BT478" s="287"/>
      <c r="BU478" s="287">
        <v>2.8</v>
      </c>
      <c r="BV478" s="287"/>
      <c r="BW478" s="287"/>
      <c r="BX478" s="286">
        <f>J478</f>
        <v>2.8</v>
      </c>
      <c r="BY478" s="289"/>
      <c r="BZ478" s="289">
        <v>2.8</v>
      </c>
      <c r="CA478" s="289"/>
      <c r="CB478" s="289"/>
      <c r="CC478" s="289"/>
      <c r="CD478" s="289"/>
      <c r="CE478" s="289"/>
      <c r="CF478" s="289"/>
      <c r="CG478" s="287"/>
      <c r="CH478" s="287"/>
      <c r="CI478" s="287"/>
      <c r="CJ478" s="287"/>
      <c r="CK478" s="287"/>
      <c r="CL478" s="287"/>
      <c r="CM478" s="292">
        <v>2.8</v>
      </c>
      <c r="CN478" s="287"/>
      <c r="CO478" s="287"/>
      <c r="CP478" s="287"/>
      <c r="CQ478" s="287">
        <v>3.5</v>
      </c>
      <c r="CR478" s="292"/>
      <c r="CS478" s="288">
        <v>2.8</v>
      </c>
      <c r="CT478" s="6"/>
      <c r="CU478" s="6"/>
      <c r="CV478" s="6"/>
      <c r="CW478" s="6"/>
      <c r="CX478" s="6"/>
      <c r="CY478" s="6"/>
      <c r="CZ478" s="6"/>
      <c r="DA478" s="343">
        <f t="shared" si="16"/>
        <v>1.8</v>
      </c>
    </row>
    <row r="479" spans="1:105" ht="20" customHeight="1" x14ac:dyDescent="0.35">
      <c r="A479" s="290" t="s">
        <v>2110</v>
      </c>
      <c r="B479" s="270" t="s">
        <v>1034</v>
      </c>
      <c r="C479" s="270" t="s">
        <v>326</v>
      </c>
      <c r="D479" s="297" t="s">
        <v>627</v>
      </c>
      <c r="E479" s="270" t="s">
        <v>34</v>
      </c>
      <c r="F479" s="270" t="s">
        <v>66</v>
      </c>
      <c r="G479" s="270" t="s">
        <v>39</v>
      </c>
      <c r="H479" s="298">
        <v>1.8</v>
      </c>
      <c r="I479" s="292"/>
      <c r="J479" s="292"/>
      <c r="K479" s="286"/>
      <c r="L479" s="286"/>
      <c r="M479" s="286"/>
      <c r="N479" s="292"/>
      <c r="O479" s="286"/>
      <c r="P479" s="292"/>
      <c r="Q479" s="286"/>
      <c r="R479" s="286"/>
      <c r="S479" s="286"/>
      <c r="T479" s="286"/>
      <c r="U479" s="286"/>
      <c r="V479" s="294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95"/>
      <c r="AL479" s="288"/>
      <c r="AM479" s="287"/>
      <c r="AN479" s="287"/>
      <c r="AO479" s="286"/>
      <c r="AP479" s="286"/>
      <c r="AQ479" s="296"/>
      <c r="AR479" s="286"/>
      <c r="AS479" s="286"/>
      <c r="AT479" s="286"/>
      <c r="AU479" s="286"/>
      <c r="AV479" s="286"/>
      <c r="AW479" s="286"/>
      <c r="AX479" s="286"/>
      <c r="AY479" s="286"/>
      <c r="AZ479" s="286"/>
      <c r="BA479" s="286"/>
      <c r="BB479" s="286"/>
      <c r="BC479" s="286"/>
      <c r="BD479" s="287"/>
      <c r="BE479" s="287"/>
      <c r="BF479" s="287"/>
      <c r="BG479" s="288"/>
      <c r="BH479" s="287"/>
      <c r="BI479" s="287"/>
      <c r="BJ479" s="287"/>
      <c r="BK479" s="287"/>
      <c r="BL479" s="287"/>
      <c r="BM479" s="287"/>
      <c r="BN479" s="287"/>
      <c r="BO479" s="287"/>
      <c r="BP479" s="287"/>
      <c r="BQ479" s="287"/>
      <c r="BR479" s="287"/>
      <c r="BS479" s="287"/>
      <c r="BT479" s="287"/>
      <c r="BU479" s="287"/>
      <c r="BV479" s="287"/>
      <c r="BW479" s="287"/>
      <c r="BX479" s="286"/>
      <c r="BY479" s="289"/>
      <c r="BZ479" s="289"/>
      <c r="CA479" s="289"/>
      <c r="CB479" s="289"/>
      <c r="CC479" s="289"/>
      <c r="CD479" s="289"/>
      <c r="CE479" s="289"/>
      <c r="CF479" s="289"/>
      <c r="CG479" s="287"/>
      <c r="CH479" s="287"/>
      <c r="CI479" s="287"/>
      <c r="CJ479" s="287"/>
      <c r="CK479" s="287"/>
      <c r="CL479" s="287"/>
      <c r="CM479" s="287"/>
      <c r="CN479" s="287"/>
      <c r="CO479" s="287"/>
      <c r="CP479" s="287"/>
      <c r="CQ479" s="287">
        <v>3.5</v>
      </c>
      <c r="CR479" s="292"/>
      <c r="CS479" s="288">
        <v>2.8</v>
      </c>
      <c r="CT479" s="6"/>
      <c r="CU479" s="6"/>
      <c r="CV479" s="6"/>
      <c r="CW479" s="6"/>
      <c r="CX479" s="6"/>
      <c r="CY479" s="6"/>
      <c r="CZ479" s="6"/>
      <c r="DA479" s="343">
        <f>H479</f>
        <v>1.8</v>
      </c>
    </row>
    <row r="480" spans="1:105" ht="20" customHeight="1" x14ac:dyDescent="0.35">
      <c r="A480" s="301"/>
      <c r="B480" s="270" t="s">
        <v>1037</v>
      </c>
      <c r="C480" s="270" t="s">
        <v>263</v>
      </c>
      <c r="D480" s="270" t="s">
        <v>653</v>
      </c>
      <c r="E480" s="270" t="s">
        <v>653</v>
      </c>
      <c r="F480" s="270" t="s">
        <v>66</v>
      </c>
      <c r="G480" s="270" t="s">
        <v>44</v>
      </c>
      <c r="H480" s="298">
        <v>3.05</v>
      </c>
      <c r="I480" s="286"/>
      <c r="J480" s="286"/>
      <c r="K480" s="286"/>
      <c r="L480" s="286"/>
      <c r="M480" s="286"/>
      <c r="N480" s="286"/>
      <c r="O480" s="286">
        <v>4</v>
      </c>
      <c r="P480" s="286"/>
      <c r="Q480" s="286"/>
      <c r="R480" s="286"/>
      <c r="S480" s="286"/>
      <c r="T480" s="286"/>
      <c r="U480" s="286"/>
      <c r="V480" s="294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7"/>
      <c r="AL480" s="288"/>
      <c r="AM480" s="287"/>
      <c r="AN480" s="287"/>
      <c r="AO480" s="287"/>
      <c r="AP480" s="286"/>
      <c r="AQ480" s="296">
        <v>4</v>
      </c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  <c r="BC480" s="286"/>
      <c r="BD480" s="287"/>
      <c r="BE480" s="287"/>
      <c r="BF480" s="287"/>
      <c r="BG480" s="288">
        <v>4</v>
      </c>
      <c r="BH480" s="287"/>
      <c r="BI480" s="287"/>
      <c r="BJ480" s="287"/>
      <c r="BK480" s="287"/>
      <c r="BL480" s="287"/>
      <c r="BM480" s="287"/>
      <c r="BN480" s="287"/>
      <c r="BO480" s="287"/>
      <c r="BP480" s="287"/>
      <c r="BQ480" s="287"/>
      <c r="BR480" s="287"/>
      <c r="BS480" s="287"/>
      <c r="BT480" s="287"/>
      <c r="BU480" s="287"/>
      <c r="BV480" s="287"/>
      <c r="BW480" s="287"/>
      <c r="BX480" s="286"/>
      <c r="BY480" s="289"/>
      <c r="BZ480" s="289"/>
      <c r="CA480" s="289"/>
      <c r="CB480" s="289"/>
      <c r="CC480" s="289"/>
      <c r="CD480" s="289"/>
      <c r="CE480" s="289"/>
      <c r="CF480" s="289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/>
      <c r="CS480" s="6"/>
      <c r="CT480" s="6"/>
      <c r="CU480" s="6"/>
      <c r="CV480" s="6"/>
      <c r="CW480" s="6"/>
      <c r="CX480" s="6"/>
      <c r="CY480" s="6"/>
      <c r="CZ480" s="6"/>
      <c r="DA480" s="343">
        <f t="shared" si="16"/>
        <v>3.05</v>
      </c>
    </row>
    <row r="481" spans="1:105" ht="20" customHeight="1" x14ac:dyDescent="0.35">
      <c r="A481" s="301"/>
      <c r="B481" s="270" t="s">
        <v>1038</v>
      </c>
      <c r="C481" s="270" t="s">
        <v>1662</v>
      </c>
      <c r="D481" s="270" t="s">
        <v>627</v>
      </c>
      <c r="E481" s="270" t="s">
        <v>627</v>
      </c>
      <c r="F481" s="270" t="s">
        <v>66</v>
      </c>
      <c r="G481" s="270"/>
      <c r="H481" s="298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94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7"/>
      <c r="AL481" s="288"/>
      <c r="AM481" s="287"/>
      <c r="AN481" s="287"/>
      <c r="AO481" s="287"/>
      <c r="AP481" s="286"/>
      <c r="AQ481" s="29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  <c r="BC481" s="286"/>
      <c r="BD481" s="287"/>
      <c r="BE481" s="287"/>
      <c r="BF481" s="287"/>
      <c r="BG481" s="287"/>
      <c r="BH481" s="287"/>
      <c r="BI481" s="287"/>
      <c r="BJ481" s="287"/>
      <c r="BK481" s="287"/>
      <c r="BL481" s="287"/>
      <c r="BM481" s="287"/>
      <c r="BN481" s="287"/>
      <c r="BO481" s="287"/>
      <c r="BP481" s="287"/>
      <c r="BQ481" s="287"/>
      <c r="BR481" s="287"/>
      <c r="BS481" s="287"/>
      <c r="BT481" s="287"/>
      <c r="BU481" s="287"/>
      <c r="BV481" s="287"/>
      <c r="BW481" s="287"/>
      <c r="BX481" s="286"/>
      <c r="BY481" s="289"/>
      <c r="BZ481" s="289"/>
      <c r="CA481" s="289"/>
      <c r="CB481" s="289"/>
      <c r="CC481" s="289"/>
      <c r="CD481" s="289"/>
      <c r="CE481" s="289"/>
      <c r="CF481" s="289"/>
      <c r="CG481" s="287"/>
      <c r="CH481" s="287"/>
      <c r="CI481" s="287"/>
      <c r="CJ481" s="287"/>
      <c r="CK481" s="287"/>
      <c r="CL481" s="287"/>
      <c r="CM481" s="287"/>
      <c r="CN481" s="287"/>
      <c r="CO481" s="287"/>
      <c r="CP481" s="287"/>
      <c r="CQ481" s="287"/>
      <c r="CR481" s="287"/>
      <c r="CS481" s="6"/>
      <c r="CT481" s="6"/>
      <c r="CU481" s="6"/>
      <c r="CV481" s="6"/>
      <c r="CW481" s="6"/>
      <c r="CX481" s="6"/>
      <c r="CY481" s="6"/>
      <c r="CZ481" s="6"/>
      <c r="DA481" s="343">
        <f t="shared" si="16"/>
        <v>0</v>
      </c>
    </row>
    <row r="482" spans="1:105" ht="20" customHeight="1" x14ac:dyDescent="0.35">
      <c r="A482" s="290" t="s">
        <v>63</v>
      </c>
      <c r="B482" s="270" t="s">
        <v>1035</v>
      </c>
      <c r="C482" s="270" t="s">
        <v>265</v>
      </c>
      <c r="D482" s="297" t="s">
        <v>627</v>
      </c>
      <c r="E482" s="270" t="s">
        <v>34</v>
      </c>
      <c r="F482" s="270" t="s">
        <v>66</v>
      </c>
      <c r="G482" s="270" t="s">
        <v>39</v>
      </c>
      <c r="H482" s="298">
        <v>6</v>
      </c>
      <c r="I482" s="292">
        <v>4</v>
      </c>
      <c r="J482" s="292">
        <v>5</v>
      </c>
      <c r="K482" s="286"/>
      <c r="L482" s="286">
        <v>4</v>
      </c>
      <c r="M482" s="286"/>
      <c r="N482" s="286"/>
      <c r="O482" s="286">
        <v>4</v>
      </c>
      <c r="P482" s="292">
        <v>4</v>
      </c>
      <c r="Q482" s="286">
        <v>4</v>
      </c>
      <c r="R482" s="286"/>
      <c r="S482" s="286"/>
      <c r="T482" s="286">
        <v>4</v>
      </c>
      <c r="U482" s="286"/>
      <c r="V482" s="294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7"/>
      <c r="AL482" s="288"/>
      <c r="AM482" s="287">
        <v>4</v>
      </c>
      <c r="AN482" s="287"/>
      <c r="AO482" s="287"/>
      <c r="AP482" s="286">
        <v>4</v>
      </c>
      <c r="AQ482" s="296"/>
      <c r="AR482" s="286">
        <v>4</v>
      </c>
      <c r="AS482" s="286"/>
      <c r="AT482" s="286">
        <v>4</v>
      </c>
      <c r="AU482" s="286">
        <v>4</v>
      </c>
      <c r="AV482" s="286">
        <v>4</v>
      </c>
      <c r="AW482" s="286">
        <v>4</v>
      </c>
      <c r="AX482" s="286">
        <v>4</v>
      </c>
      <c r="AY482" s="286">
        <v>4</v>
      </c>
      <c r="AZ482" s="286">
        <v>4</v>
      </c>
      <c r="BA482" s="286">
        <v>4</v>
      </c>
      <c r="BB482" s="286"/>
      <c r="BC482" s="286">
        <v>4</v>
      </c>
      <c r="BD482" s="287"/>
      <c r="BE482" s="287"/>
      <c r="BF482" s="287"/>
      <c r="BG482" s="287"/>
      <c r="BH482" s="288">
        <v>5</v>
      </c>
      <c r="BI482" s="287"/>
      <c r="BJ482" s="287"/>
      <c r="BK482" s="287"/>
      <c r="BL482" s="287"/>
      <c r="BM482" s="287"/>
      <c r="BN482" s="287"/>
      <c r="BO482" s="287"/>
      <c r="BP482" s="287"/>
      <c r="BQ482" s="287"/>
      <c r="BR482" s="287"/>
      <c r="BS482" s="287"/>
      <c r="BT482" s="287"/>
      <c r="BU482" s="287"/>
      <c r="BV482" s="287"/>
      <c r="BW482" s="287"/>
      <c r="BX482" s="286"/>
      <c r="BY482" s="289"/>
      <c r="BZ482" s="289">
        <v>4</v>
      </c>
      <c r="CA482" s="289"/>
      <c r="CB482" s="289"/>
      <c r="CC482" s="289"/>
      <c r="CD482" s="289"/>
      <c r="CE482" s="289"/>
      <c r="CF482" s="289"/>
      <c r="CG482" s="287"/>
      <c r="CH482" s="287"/>
      <c r="CI482" s="287"/>
      <c r="CJ482" s="287"/>
      <c r="CK482" s="287"/>
      <c r="CL482" s="287"/>
      <c r="CM482" s="287"/>
      <c r="CN482" s="287"/>
      <c r="CO482" s="287"/>
      <c r="CP482" s="287"/>
      <c r="CQ482" s="287">
        <v>5</v>
      </c>
      <c r="CR482" s="287"/>
      <c r="CS482" s="288">
        <v>4</v>
      </c>
      <c r="CT482" s="6"/>
      <c r="CU482" s="6"/>
      <c r="CV482" s="6"/>
      <c r="CW482" s="6"/>
      <c r="CX482" s="6"/>
      <c r="CY482" s="6"/>
      <c r="CZ482" s="6"/>
      <c r="DA482" s="343">
        <f t="shared" si="16"/>
        <v>6</v>
      </c>
    </row>
    <row r="483" spans="1:105" ht="20" customHeight="1" x14ac:dyDescent="0.35">
      <c r="A483" s="290" t="s">
        <v>2113</v>
      </c>
      <c r="B483" s="270" t="s">
        <v>1035</v>
      </c>
      <c r="C483" s="270" t="s">
        <v>265</v>
      </c>
      <c r="D483" s="297" t="s">
        <v>627</v>
      </c>
      <c r="E483" s="270" t="s">
        <v>34</v>
      </c>
      <c r="F483" s="270" t="s">
        <v>66</v>
      </c>
      <c r="G483" s="270" t="s">
        <v>39</v>
      </c>
      <c r="H483" s="298">
        <v>6</v>
      </c>
      <c r="I483" s="292">
        <v>4</v>
      </c>
      <c r="J483" s="292"/>
      <c r="K483" s="286"/>
      <c r="L483" s="286"/>
      <c r="M483" s="286"/>
      <c r="N483" s="286"/>
      <c r="O483" s="286"/>
      <c r="P483" s="292"/>
      <c r="Q483" s="286"/>
      <c r="R483" s="286"/>
      <c r="S483" s="286"/>
      <c r="T483" s="286"/>
      <c r="U483" s="286"/>
      <c r="V483" s="294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7"/>
      <c r="AL483" s="288"/>
      <c r="AM483" s="287"/>
      <c r="AN483" s="287"/>
      <c r="AO483" s="287"/>
      <c r="AP483" s="286"/>
      <c r="AQ483" s="296"/>
      <c r="AR483" s="286"/>
      <c r="AS483" s="286"/>
      <c r="AT483" s="286"/>
      <c r="AU483" s="286"/>
      <c r="AV483" s="286"/>
      <c r="AW483" s="286"/>
      <c r="AX483" s="286"/>
      <c r="AY483" s="286"/>
      <c r="AZ483" s="286"/>
      <c r="BA483" s="286"/>
      <c r="BB483" s="286"/>
      <c r="BC483" s="286"/>
      <c r="BD483" s="287"/>
      <c r="BE483" s="287"/>
      <c r="BF483" s="287"/>
      <c r="BG483" s="287"/>
      <c r="BH483" s="287"/>
      <c r="BI483" s="287"/>
      <c r="BJ483" s="287"/>
      <c r="BK483" s="287"/>
      <c r="BL483" s="287"/>
      <c r="BM483" s="287"/>
      <c r="BN483" s="287"/>
      <c r="BO483" s="287"/>
      <c r="BP483" s="287"/>
      <c r="BQ483" s="287"/>
      <c r="BR483" s="287"/>
      <c r="BS483" s="287"/>
      <c r="BT483" s="287"/>
      <c r="BU483" s="287"/>
      <c r="BV483" s="287"/>
      <c r="BW483" s="287"/>
      <c r="BX483" s="286"/>
      <c r="BY483" s="289"/>
      <c r="BZ483" s="289"/>
      <c r="CA483" s="289"/>
      <c r="CB483" s="289"/>
      <c r="CC483" s="289"/>
      <c r="CD483" s="289"/>
      <c r="CE483" s="289"/>
      <c r="CF483" s="289"/>
      <c r="CG483" s="287"/>
      <c r="CH483" s="287"/>
      <c r="CI483" s="287"/>
      <c r="CJ483" s="287"/>
      <c r="CK483" s="287"/>
      <c r="CL483" s="287"/>
      <c r="CM483" s="287"/>
      <c r="CN483" s="287"/>
      <c r="CO483" s="287"/>
      <c r="CP483" s="287"/>
      <c r="CQ483" s="287">
        <v>5</v>
      </c>
      <c r="CR483" s="287"/>
      <c r="CS483" s="288">
        <v>4</v>
      </c>
      <c r="CT483" s="6"/>
      <c r="CU483" s="6"/>
      <c r="CV483" s="6"/>
      <c r="CW483" s="6"/>
      <c r="CX483" s="6"/>
      <c r="CY483" s="6"/>
      <c r="CZ483" s="6"/>
      <c r="DA483" s="343">
        <f>H483</f>
        <v>6</v>
      </c>
    </row>
    <row r="484" spans="1:105" ht="20" customHeight="1" x14ac:dyDescent="0.35">
      <c r="A484" s="290"/>
      <c r="B484" s="270" t="s">
        <v>1039</v>
      </c>
      <c r="C484" s="270" t="s">
        <v>1574</v>
      </c>
      <c r="D484" s="270" t="s">
        <v>627</v>
      </c>
      <c r="E484" s="270" t="s">
        <v>34</v>
      </c>
      <c r="F484" s="270" t="s">
        <v>66</v>
      </c>
      <c r="G484" s="270"/>
      <c r="H484" s="298">
        <v>6</v>
      </c>
      <c r="I484" s="292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94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7"/>
      <c r="AL484" s="288"/>
      <c r="AM484" s="287"/>
      <c r="AN484" s="287"/>
      <c r="AO484" s="287"/>
      <c r="AP484" s="286"/>
      <c r="AQ484" s="296">
        <v>8</v>
      </c>
      <c r="AR484" s="286"/>
      <c r="AS484" s="286"/>
      <c r="AT484" s="286"/>
      <c r="AU484" s="286"/>
      <c r="AV484" s="286"/>
      <c r="AW484" s="286"/>
      <c r="AX484" s="286"/>
      <c r="AY484" s="286"/>
      <c r="AZ484" s="286"/>
      <c r="BA484" s="286"/>
      <c r="BB484" s="286"/>
      <c r="BC484" s="286"/>
      <c r="BD484" s="287"/>
      <c r="BE484" s="287"/>
      <c r="BF484" s="287"/>
      <c r="BG484" s="288">
        <v>7.5</v>
      </c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/>
      <c r="BV484" s="287"/>
      <c r="BW484" s="287"/>
      <c r="BX484" s="286"/>
      <c r="BY484" s="289"/>
      <c r="BZ484" s="289"/>
      <c r="CA484" s="289"/>
      <c r="CB484" s="289"/>
      <c r="CC484" s="289"/>
      <c r="CD484" s="289"/>
      <c r="CE484" s="289"/>
      <c r="CF484" s="289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6"/>
      <c r="CT484" s="6"/>
      <c r="CU484" s="6"/>
      <c r="CV484" s="6"/>
      <c r="CW484" s="6"/>
      <c r="CX484" s="6"/>
      <c r="CY484" s="6"/>
      <c r="CZ484" s="6"/>
      <c r="DA484" s="343">
        <f t="shared" si="16"/>
        <v>6</v>
      </c>
    </row>
    <row r="485" spans="1:105" ht="20" customHeight="1" x14ac:dyDescent="0.35">
      <c r="A485" s="290">
        <v>520701</v>
      </c>
      <c r="B485" s="270" t="s">
        <v>1040</v>
      </c>
      <c r="C485" s="270" t="s">
        <v>1663</v>
      </c>
      <c r="D485" s="297" t="s">
        <v>627</v>
      </c>
      <c r="E485" s="270" t="s">
        <v>34</v>
      </c>
      <c r="F485" s="270" t="s">
        <v>1856</v>
      </c>
      <c r="G485" s="270" t="s">
        <v>544</v>
      </c>
      <c r="H485" s="298">
        <v>3.6</v>
      </c>
      <c r="I485" s="292">
        <v>15</v>
      </c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94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95">
        <v>15</v>
      </c>
      <c r="AL485" s="288"/>
      <c r="AM485" s="287"/>
      <c r="AN485" s="287"/>
      <c r="AO485" s="287"/>
      <c r="AP485" s="286"/>
      <c r="AQ485" s="296"/>
      <c r="AR485" s="286"/>
      <c r="AS485" s="286"/>
      <c r="AT485" s="286"/>
      <c r="AU485" s="286"/>
      <c r="AV485" s="286"/>
      <c r="AW485" s="286"/>
      <c r="AX485" s="286"/>
      <c r="AY485" s="286"/>
      <c r="AZ485" s="286"/>
      <c r="BA485" s="286"/>
      <c r="BB485" s="286"/>
      <c r="BC485" s="286"/>
      <c r="BD485" s="287"/>
      <c r="BE485" s="287"/>
      <c r="BF485" s="287"/>
      <c r="BG485" s="288">
        <v>10</v>
      </c>
      <c r="BH485" s="287"/>
      <c r="BI485" s="287"/>
      <c r="BJ485" s="287"/>
      <c r="BK485" s="287"/>
      <c r="BL485" s="287"/>
      <c r="BM485" s="287"/>
      <c r="BN485" s="287"/>
      <c r="BO485" s="287"/>
      <c r="BP485" s="287"/>
      <c r="BQ485" s="287"/>
      <c r="BR485" s="287"/>
      <c r="BS485" s="287"/>
      <c r="BT485" s="287"/>
      <c r="BU485" s="299">
        <v>15</v>
      </c>
      <c r="BV485" s="287"/>
      <c r="BW485" s="287"/>
      <c r="BX485" s="286"/>
      <c r="BY485" s="289"/>
      <c r="BZ485" s="289"/>
      <c r="CA485" s="289"/>
      <c r="CB485" s="289"/>
      <c r="CC485" s="289"/>
      <c r="CD485" s="289"/>
      <c r="CE485" s="289"/>
      <c r="CF485" s="289"/>
      <c r="CG485" s="287"/>
      <c r="CH485" s="287"/>
      <c r="CI485" s="287"/>
      <c r="CJ485" s="287"/>
      <c r="CK485" s="287"/>
      <c r="CL485" s="287"/>
      <c r="CM485" s="287"/>
      <c r="CN485" s="287"/>
      <c r="CO485" s="287"/>
      <c r="CP485" s="287"/>
      <c r="CQ485" s="287"/>
      <c r="CR485" s="287"/>
      <c r="CS485" s="288">
        <v>15</v>
      </c>
      <c r="CT485" s="6"/>
      <c r="CU485" s="6"/>
      <c r="CV485" s="6"/>
      <c r="CW485" s="6"/>
      <c r="CX485" s="6"/>
      <c r="CY485" s="6"/>
      <c r="CZ485" s="6"/>
      <c r="DA485" s="343">
        <f t="shared" si="16"/>
        <v>3.6</v>
      </c>
    </row>
    <row r="486" spans="1:105" ht="20" customHeight="1" x14ac:dyDescent="0.35">
      <c r="A486" s="290">
        <v>520792</v>
      </c>
      <c r="B486" s="270" t="s">
        <v>1036</v>
      </c>
      <c r="C486" s="270" t="s">
        <v>266</v>
      </c>
      <c r="D486" s="297" t="s">
        <v>535</v>
      </c>
      <c r="E486" s="270" t="s">
        <v>34</v>
      </c>
      <c r="F486" s="270" t="s">
        <v>2223</v>
      </c>
      <c r="G486" s="270" t="s">
        <v>44</v>
      </c>
      <c r="H486" s="298">
        <v>0.45</v>
      </c>
      <c r="I486" s="405">
        <v>5.5</v>
      </c>
      <c r="J486" s="286"/>
      <c r="K486" s="286"/>
      <c r="L486" s="286"/>
      <c r="M486" s="286"/>
      <c r="N486" s="286"/>
      <c r="O486" s="286"/>
      <c r="P486" s="286"/>
      <c r="Q486" s="289">
        <v>6</v>
      </c>
      <c r="R486" s="286"/>
      <c r="S486" s="286"/>
      <c r="T486" s="286"/>
      <c r="U486" s="286"/>
      <c r="V486" s="294"/>
      <c r="W486" s="286"/>
      <c r="X486" s="286"/>
      <c r="Y486" s="286"/>
      <c r="Z486" s="286"/>
      <c r="AA486" s="286"/>
      <c r="AB486" s="286"/>
      <c r="AC486" s="289"/>
      <c r="AD486" s="286"/>
      <c r="AE486" s="286"/>
      <c r="AF486" s="286"/>
      <c r="AG486" s="286"/>
      <c r="AH486" s="286"/>
      <c r="AI486" s="286"/>
      <c r="AJ486" s="289">
        <v>6</v>
      </c>
      <c r="AK486" s="295">
        <v>6</v>
      </c>
      <c r="AL486" s="288"/>
      <c r="AM486" s="287"/>
      <c r="AN486" s="287"/>
      <c r="AO486" s="287"/>
      <c r="AP486" s="286"/>
      <c r="AQ486" s="296">
        <v>6</v>
      </c>
      <c r="AR486" s="286"/>
      <c r="AS486" s="286"/>
      <c r="AT486" s="286"/>
      <c r="AU486" s="286"/>
      <c r="AV486" s="286"/>
      <c r="AW486" s="286"/>
      <c r="AX486" s="286"/>
      <c r="AY486" s="286"/>
      <c r="AZ486" s="286"/>
      <c r="BA486" s="286"/>
      <c r="BB486" s="286"/>
      <c r="BC486" s="286"/>
      <c r="BD486" s="287"/>
      <c r="BE486" s="287"/>
      <c r="BF486" s="287"/>
      <c r="BG486" s="288">
        <v>7</v>
      </c>
      <c r="BH486" s="287"/>
      <c r="BI486" s="287"/>
      <c r="BJ486" s="287"/>
      <c r="BK486" s="287"/>
      <c r="BL486" s="287"/>
      <c r="BM486" s="287"/>
      <c r="BN486" s="287"/>
      <c r="BO486" s="287"/>
      <c r="BP486" s="287"/>
      <c r="BQ486" s="287"/>
      <c r="BR486" s="287"/>
      <c r="BS486" s="287"/>
      <c r="BT486" s="287"/>
      <c r="BU486" s="287"/>
      <c r="BV486" s="287"/>
      <c r="BW486" s="287"/>
      <c r="BX486" s="286"/>
      <c r="BY486" s="289"/>
      <c r="BZ486" s="289"/>
      <c r="CA486" s="289">
        <v>7</v>
      </c>
      <c r="CB486" s="289"/>
      <c r="CC486" s="289"/>
      <c r="CD486" s="289"/>
      <c r="CE486" s="289"/>
      <c r="CF486" s="289"/>
      <c r="CG486" s="287"/>
      <c r="CH486" s="287"/>
      <c r="CI486" s="287"/>
      <c r="CJ486" s="287"/>
      <c r="CK486" s="287"/>
      <c r="CL486" s="287"/>
      <c r="CM486" s="287"/>
      <c r="CN486" s="287"/>
      <c r="CO486" s="287"/>
      <c r="CP486" s="287"/>
      <c r="CQ486" s="287"/>
      <c r="CR486" s="287"/>
      <c r="CS486" s="288">
        <v>0.5</v>
      </c>
      <c r="CT486" s="6"/>
      <c r="CU486" s="6"/>
      <c r="CV486" s="6"/>
      <c r="CW486" s="6"/>
      <c r="CX486" s="6"/>
      <c r="CY486" s="6"/>
      <c r="CZ486" s="6"/>
      <c r="DA486" s="343">
        <f t="shared" si="16"/>
        <v>0.45</v>
      </c>
    </row>
    <row r="487" spans="1:105" ht="20" customHeight="1" x14ac:dyDescent="0.35">
      <c r="A487" s="321">
        <v>520736</v>
      </c>
      <c r="B487" s="272" t="s">
        <v>1307</v>
      </c>
      <c r="C487" s="272" t="s">
        <v>1308</v>
      </c>
      <c r="D487" s="329" t="s">
        <v>535</v>
      </c>
      <c r="E487" s="272" t="s">
        <v>34</v>
      </c>
      <c r="F487" s="272" t="s">
        <v>66</v>
      </c>
      <c r="G487" s="270" t="s">
        <v>96</v>
      </c>
      <c r="H487" s="298">
        <f>1.6</f>
        <v>1.6</v>
      </c>
      <c r="I487" s="292">
        <v>2.5</v>
      </c>
      <c r="J487" s="330"/>
      <c r="K487" s="286"/>
      <c r="L487" s="286"/>
      <c r="M487" s="286"/>
      <c r="N487" s="286"/>
      <c r="O487" s="286"/>
      <c r="P487" s="286"/>
      <c r="Q487" s="286"/>
      <c r="R487" s="286"/>
      <c r="S487" s="286"/>
      <c r="T487" s="330"/>
      <c r="U487" s="286"/>
      <c r="V487" s="294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331"/>
      <c r="AL487" s="288"/>
      <c r="AM487" s="287"/>
      <c r="AN487" s="287"/>
      <c r="AO487" s="287"/>
      <c r="AP487" s="286"/>
      <c r="AQ487" s="296"/>
      <c r="AR487" s="286"/>
      <c r="AS487" s="286"/>
      <c r="AT487" s="286"/>
      <c r="AU487" s="286"/>
      <c r="AV487" s="286"/>
      <c r="AW487" s="286"/>
      <c r="AX487" s="286"/>
      <c r="AY487" s="286"/>
      <c r="AZ487" s="286"/>
      <c r="BA487" s="286"/>
      <c r="BB487" s="286"/>
      <c r="BC487" s="286"/>
      <c r="BD487" s="287"/>
      <c r="BE487" s="287"/>
      <c r="BF487" s="287"/>
      <c r="BG487" s="287"/>
      <c r="BH487" s="287"/>
      <c r="BI487" s="287"/>
      <c r="BJ487" s="287"/>
      <c r="BK487" s="287"/>
      <c r="BL487" s="287"/>
      <c r="BM487" s="287"/>
      <c r="BN487" s="287"/>
      <c r="BO487" s="287"/>
      <c r="BP487" s="287"/>
      <c r="BQ487" s="287"/>
      <c r="BR487" s="287"/>
      <c r="BS487" s="287"/>
      <c r="BT487" s="287"/>
      <c r="BU487" s="287"/>
      <c r="BV487" s="287"/>
      <c r="BW487" s="287"/>
      <c r="BX487" s="286"/>
      <c r="BY487" s="289"/>
      <c r="BZ487" s="289"/>
      <c r="CA487" s="289"/>
      <c r="CB487" s="289"/>
      <c r="CC487" s="289"/>
      <c r="CD487" s="289"/>
      <c r="CE487" s="289"/>
      <c r="CF487" s="289"/>
      <c r="CG487" s="287"/>
      <c r="CH487" s="287"/>
      <c r="CI487" s="287"/>
      <c r="CJ487" s="287"/>
      <c r="CK487" s="287"/>
      <c r="CL487" s="287"/>
      <c r="CM487" s="287"/>
      <c r="CN487" s="287"/>
      <c r="CO487" s="287"/>
      <c r="CP487" s="287"/>
      <c r="CQ487" s="287"/>
      <c r="CR487" s="287"/>
      <c r="CS487" s="288">
        <v>2.5</v>
      </c>
      <c r="CT487" s="6"/>
      <c r="CU487" s="6"/>
      <c r="CV487" s="6"/>
      <c r="CW487" s="6"/>
      <c r="CX487" s="6"/>
      <c r="CY487" s="6"/>
      <c r="CZ487" s="6"/>
      <c r="DA487" s="343">
        <f t="shared" si="16"/>
        <v>1.6</v>
      </c>
    </row>
    <row r="488" spans="1:105" ht="20" customHeight="1" x14ac:dyDescent="0.35">
      <c r="A488" s="321" t="s">
        <v>2119</v>
      </c>
      <c r="B488" s="270" t="s">
        <v>1454</v>
      </c>
      <c r="C488" s="270" t="s">
        <v>1511</v>
      </c>
      <c r="D488" s="297" t="s">
        <v>535</v>
      </c>
      <c r="E488" s="270" t="s">
        <v>34</v>
      </c>
      <c r="F488" s="272" t="s">
        <v>66</v>
      </c>
      <c r="G488" s="270" t="s">
        <v>39</v>
      </c>
      <c r="H488" s="298">
        <f>34/15</f>
        <v>2.2666666666666666</v>
      </c>
      <c r="I488" s="292">
        <v>3.8</v>
      </c>
      <c r="J488" s="330"/>
      <c r="K488" s="286"/>
      <c r="L488" s="286"/>
      <c r="M488" s="286"/>
      <c r="N488" s="286"/>
      <c r="O488" s="286"/>
      <c r="P488" s="286"/>
      <c r="Q488" s="286"/>
      <c r="R488" s="286"/>
      <c r="S488" s="286"/>
      <c r="T488" s="330"/>
      <c r="U488" s="286"/>
      <c r="V488" s="294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95"/>
      <c r="AL488" s="288"/>
      <c r="AM488" s="287"/>
      <c r="AN488" s="287"/>
      <c r="AO488" s="287"/>
      <c r="AP488" s="286"/>
      <c r="AQ488" s="296"/>
      <c r="AR488" s="286"/>
      <c r="AS488" s="286"/>
      <c r="AT488" s="286"/>
      <c r="AU488" s="286"/>
      <c r="AV488" s="286"/>
      <c r="AW488" s="286"/>
      <c r="AX488" s="286"/>
      <c r="AY488" s="286"/>
      <c r="AZ488" s="286"/>
      <c r="BA488" s="286"/>
      <c r="BB488" s="286"/>
      <c r="BC488" s="286"/>
      <c r="BD488" s="287"/>
      <c r="BE488" s="287"/>
      <c r="BF488" s="287"/>
      <c r="BG488" s="288">
        <v>3.6</v>
      </c>
      <c r="BH488" s="287"/>
      <c r="BI488" s="287"/>
      <c r="BJ488" s="287"/>
      <c r="BK488" s="287"/>
      <c r="BL488" s="287"/>
      <c r="BM488" s="287"/>
      <c r="BN488" s="287"/>
      <c r="BO488" s="287"/>
      <c r="BP488" s="287"/>
      <c r="BQ488" s="287"/>
      <c r="BR488" s="287"/>
      <c r="BS488" s="287"/>
      <c r="BT488" s="287"/>
      <c r="BU488" s="287"/>
      <c r="BV488" s="287"/>
      <c r="BW488" s="287"/>
      <c r="BX488" s="286"/>
      <c r="BY488" s="289"/>
      <c r="BZ488" s="289"/>
      <c r="CA488" s="289"/>
      <c r="CB488" s="289"/>
      <c r="CC488" s="289"/>
      <c r="CD488" s="289"/>
      <c r="CE488" s="289"/>
      <c r="CF488" s="289"/>
      <c r="CG488" s="287"/>
      <c r="CH488" s="287"/>
      <c r="CI488" s="287"/>
      <c r="CJ488" s="287"/>
      <c r="CK488" s="287"/>
      <c r="CL488" s="287"/>
      <c r="CM488" s="287"/>
      <c r="CN488" s="287"/>
      <c r="CO488" s="287"/>
      <c r="CP488" s="287"/>
      <c r="CQ488" s="287">
        <v>3.8</v>
      </c>
      <c r="CR488" s="287"/>
      <c r="CS488" s="288">
        <v>4.5</v>
      </c>
      <c r="CT488" s="6"/>
      <c r="CU488" s="6"/>
      <c r="CV488" s="6"/>
      <c r="CW488" s="6"/>
      <c r="CX488" s="6"/>
      <c r="CY488" s="6"/>
      <c r="CZ488" s="6"/>
      <c r="DA488" s="343">
        <f t="shared" si="16"/>
        <v>2.2666666666666666</v>
      </c>
    </row>
    <row r="489" spans="1:105" ht="20" customHeight="1" x14ac:dyDescent="0.35">
      <c r="A489" s="321"/>
      <c r="B489" s="274" t="s">
        <v>1475</v>
      </c>
      <c r="C489" s="274" t="s">
        <v>1476</v>
      </c>
      <c r="D489" s="332" t="s">
        <v>1143</v>
      </c>
      <c r="E489" s="274"/>
      <c r="F489" s="274" t="s">
        <v>66</v>
      </c>
      <c r="G489" s="270" t="s">
        <v>148</v>
      </c>
      <c r="H489" s="298">
        <f>16/5</f>
        <v>3.2</v>
      </c>
      <c r="I489" s="292">
        <v>4.8</v>
      </c>
      <c r="J489" s="330"/>
      <c r="K489" s="286"/>
      <c r="L489" s="286"/>
      <c r="M489" s="286"/>
      <c r="N489" s="286"/>
      <c r="O489" s="286"/>
      <c r="P489" s="286"/>
      <c r="Q489" s="286"/>
      <c r="R489" s="286"/>
      <c r="S489" s="286"/>
      <c r="T489" s="330"/>
      <c r="U489" s="286"/>
      <c r="V489" s="294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333"/>
      <c r="AL489" s="288"/>
      <c r="AM489" s="287"/>
      <c r="AN489" s="287"/>
      <c r="AO489" s="287"/>
      <c r="AP489" s="286"/>
      <c r="AQ489" s="296"/>
      <c r="AR489" s="286"/>
      <c r="AS489" s="286"/>
      <c r="AT489" s="286"/>
      <c r="AU489" s="286"/>
      <c r="AV489" s="286"/>
      <c r="AW489" s="286"/>
      <c r="AX489" s="286"/>
      <c r="AY489" s="286"/>
      <c r="AZ489" s="286"/>
      <c r="BA489" s="286"/>
      <c r="BB489" s="286"/>
      <c r="BC489" s="286"/>
      <c r="BD489" s="287"/>
      <c r="BE489" s="287"/>
      <c r="BF489" s="287"/>
      <c r="BG489" s="288">
        <v>4</v>
      </c>
      <c r="BH489" s="287"/>
      <c r="BI489" s="287"/>
      <c r="BJ489" s="287"/>
      <c r="BK489" s="287"/>
      <c r="BL489" s="287"/>
      <c r="BM489" s="287"/>
      <c r="BN489" s="287"/>
      <c r="BO489" s="287"/>
      <c r="BP489" s="287"/>
      <c r="BQ489" s="287"/>
      <c r="BR489" s="287"/>
      <c r="BS489" s="287"/>
      <c r="BT489" s="287"/>
      <c r="BU489" s="287"/>
      <c r="BV489" s="287"/>
      <c r="BW489" s="287"/>
      <c r="BX489" s="286"/>
      <c r="BY489" s="289"/>
      <c r="BZ489" s="289"/>
      <c r="CA489" s="289"/>
      <c r="CB489" s="289"/>
      <c r="CC489" s="289"/>
      <c r="CD489" s="289"/>
      <c r="CE489" s="289"/>
      <c r="CF489" s="289"/>
      <c r="CG489" s="287"/>
      <c r="CH489" s="287"/>
      <c r="CI489" s="287"/>
      <c r="CJ489" s="287"/>
      <c r="CK489" s="287"/>
      <c r="CL489" s="287"/>
      <c r="CM489" s="287"/>
      <c r="CN489" s="287"/>
      <c r="CO489" s="287"/>
      <c r="CP489" s="287"/>
      <c r="CQ489" s="287"/>
      <c r="CR489" s="287"/>
      <c r="CS489" s="288">
        <v>4.8</v>
      </c>
      <c r="CT489" s="6"/>
      <c r="CU489" s="6"/>
      <c r="CV489" s="6"/>
      <c r="CW489" s="6"/>
      <c r="CX489" s="6"/>
      <c r="CY489" s="6"/>
      <c r="CZ489" s="6"/>
      <c r="DA489" s="343">
        <f t="shared" si="16"/>
        <v>3.2</v>
      </c>
    </row>
    <row r="490" spans="1:105" ht="20" customHeight="1" x14ac:dyDescent="0.35">
      <c r="A490" s="290"/>
      <c r="B490" s="274" t="s">
        <v>1709</v>
      </c>
      <c r="C490" s="274" t="s">
        <v>1711</v>
      </c>
      <c r="D490" s="332" t="s">
        <v>34</v>
      </c>
      <c r="E490" s="332" t="s">
        <v>655</v>
      </c>
      <c r="F490" s="272" t="s">
        <v>66</v>
      </c>
      <c r="G490" s="334" t="s">
        <v>31</v>
      </c>
      <c r="H490" s="298">
        <v>2.2000000000000002</v>
      </c>
      <c r="I490" s="292">
        <v>3.3</v>
      </c>
      <c r="J490" s="330"/>
      <c r="K490" s="286"/>
      <c r="L490" s="286"/>
      <c r="M490" s="286"/>
      <c r="N490" s="286"/>
      <c r="O490" s="286"/>
      <c r="P490" s="286"/>
      <c r="Q490" s="286"/>
      <c r="R490" s="286"/>
      <c r="S490" s="286"/>
      <c r="T490" s="330"/>
      <c r="U490" s="286"/>
      <c r="V490" s="294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335"/>
      <c r="AK490" s="333"/>
      <c r="AL490" s="336"/>
      <c r="AM490" s="287"/>
      <c r="AN490" s="287"/>
      <c r="AO490" s="287"/>
      <c r="AP490" s="286"/>
      <c r="AQ490" s="296"/>
      <c r="AR490" s="286"/>
      <c r="AS490" s="286"/>
      <c r="AT490" s="286"/>
      <c r="AU490" s="286"/>
      <c r="AV490" s="286"/>
      <c r="AW490" s="286"/>
      <c r="AX490" s="286"/>
      <c r="AY490" s="286"/>
      <c r="AZ490" s="286"/>
      <c r="BA490" s="286"/>
      <c r="BB490" s="286"/>
      <c r="BC490" s="286"/>
      <c r="BD490" s="287"/>
      <c r="BE490" s="287"/>
      <c r="BF490" s="287"/>
      <c r="BG490" s="288"/>
      <c r="BH490" s="287"/>
      <c r="BI490" s="287"/>
      <c r="BJ490" s="287"/>
      <c r="BK490" s="287"/>
      <c r="BL490" s="287"/>
      <c r="BM490" s="287"/>
      <c r="BN490" s="287"/>
      <c r="BO490" s="287"/>
      <c r="BP490" s="287"/>
      <c r="BQ490" s="287"/>
      <c r="BR490" s="287"/>
      <c r="BS490" s="287"/>
      <c r="BT490" s="287"/>
      <c r="BU490" s="287"/>
      <c r="BV490" s="287"/>
      <c r="BW490" s="287"/>
      <c r="BX490" s="286"/>
      <c r="BY490" s="289"/>
      <c r="BZ490" s="289"/>
      <c r="CA490" s="289"/>
      <c r="CB490" s="289"/>
      <c r="CC490" s="289"/>
      <c r="CD490" s="289"/>
      <c r="CE490" s="289"/>
      <c r="CF490" s="289"/>
      <c r="CG490" s="287"/>
      <c r="CH490" s="287"/>
      <c r="CI490" s="287"/>
      <c r="CJ490" s="287"/>
      <c r="CK490" s="287"/>
      <c r="CL490" s="287"/>
      <c r="CM490" s="287"/>
      <c r="CN490" s="287"/>
      <c r="CO490" s="287"/>
      <c r="CP490" s="287"/>
      <c r="CQ490" s="287"/>
      <c r="CR490" s="287"/>
      <c r="CS490" s="288"/>
      <c r="CT490" s="6"/>
      <c r="CU490" s="6"/>
      <c r="CV490" s="6"/>
      <c r="CW490" s="6"/>
      <c r="CX490" s="6"/>
      <c r="CY490" s="6"/>
      <c r="CZ490" s="6"/>
      <c r="DA490" s="343">
        <f t="shared" si="16"/>
        <v>2.2000000000000002</v>
      </c>
    </row>
    <row r="491" spans="1:105" ht="20" customHeight="1" x14ac:dyDescent="0.35">
      <c r="A491" s="290" t="s">
        <v>2143</v>
      </c>
      <c r="B491" s="274" t="s">
        <v>2133</v>
      </c>
      <c r="C491" s="274" t="s">
        <v>2134</v>
      </c>
      <c r="D491" s="270" t="s">
        <v>627</v>
      </c>
      <c r="E491" s="332" t="s">
        <v>34</v>
      </c>
      <c r="F491" s="272" t="s">
        <v>2132</v>
      </c>
      <c r="G491" s="334" t="s">
        <v>39</v>
      </c>
      <c r="H491" s="298">
        <v>1.9</v>
      </c>
      <c r="I491" s="292"/>
      <c r="J491" s="330"/>
      <c r="K491" s="286"/>
      <c r="L491" s="286"/>
      <c r="M491" s="286"/>
      <c r="N491" s="286"/>
      <c r="O491" s="286"/>
      <c r="P491" s="286"/>
      <c r="Q491" s="286"/>
      <c r="R491" s="286"/>
      <c r="S491" s="286"/>
      <c r="T491" s="330"/>
      <c r="U491" s="286"/>
      <c r="V491" s="294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335"/>
      <c r="AK491" s="333"/>
      <c r="AL491" s="336"/>
      <c r="AM491" s="287"/>
      <c r="AN491" s="287"/>
      <c r="AO491" s="287"/>
      <c r="AP491" s="286"/>
      <c r="AQ491" s="296"/>
      <c r="AR491" s="286"/>
      <c r="AS491" s="286"/>
      <c r="AT491" s="286"/>
      <c r="AU491" s="286"/>
      <c r="AV491" s="286"/>
      <c r="AW491" s="286"/>
      <c r="AX491" s="286"/>
      <c r="AY491" s="286"/>
      <c r="AZ491" s="286"/>
      <c r="BA491" s="286"/>
      <c r="BB491" s="286"/>
      <c r="BC491" s="286"/>
      <c r="BD491" s="287"/>
      <c r="BE491" s="287"/>
      <c r="BF491" s="287"/>
      <c r="BG491" s="288"/>
      <c r="BH491" s="287"/>
      <c r="BI491" s="287"/>
      <c r="BJ491" s="287"/>
      <c r="BK491" s="287"/>
      <c r="BL491" s="287"/>
      <c r="BM491" s="287"/>
      <c r="BN491" s="287"/>
      <c r="BO491" s="287"/>
      <c r="BP491" s="287"/>
      <c r="BQ491" s="287"/>
      <c r="BR491" s="287"/>
      <c r="BS491" s="287"/>
      <c r="BT491" s="287"/>
      <c r="BU491" s="287"/>
      <c r="BV491" s="287"/>
      <c r="BW491" s="287"/>
      <c r="BX491" s="286"/>
      <c r="BY491" s="289"/>
      <c r="BZ491" s="289"/>
      <c r="CA491" s="289"/>
      <c r="CB491" s="289"/>
      <c r="CC491" s="289"/>
      <c r="CD491" s="289"/>
      <c r="CE491" s="289"/>
      <c r="CF491" s="289"/>
      <c r="CG491" s="287"/>
      <c r="CH491" s="287"/>
      <c r="CI491" s="287"/>
      <c r="CJ491" s="287"/>
      <c r="CK491" s="287"/>
      <c r="CL491" s="287"/>
      <c r="CM491" s="394"/>
      <c r="CN491" s="287"/>
      <c r="CO491" s="394"/>
      <c r="CP491" s="287"/>
      <c r="CQ491" s="287">
        <v>4</v>
      </c>
      <c r="CR491" s="287"/>
      <c r="CS491" s="288"/>
      <c r="CT491" s="6"/>
      <c r="CU491" s="6"/>
      <c r="CV491" s="6"/>
      <c r="CW491" s="6"/>
      <c r="CX491" s="6"/>
      <c r="CY491" s="6"/>
      <c r="CZ491" s="6"/>
      <c r="DA491" s="343">
        <f t="shared" si="16"/>
        <v>1.9</v>
      </c>
    </row>
    <row r="492" spans="1:105" ht="20" customHeight="1" x14ac:dyDescent="0.35">
      <c r="A492" s="290"/>
      <c r="B492" s="274" t="s">
        <v>2146</v>
      </c>
      <c r="C492" s="274" t="s">
        <v>2147</v>
      </c>
      <c r="D492" s="332" t="s">
        <v>34</v>
      </c>
      <c r="E492" s="332" t="s">
        <v>655</v>
      </c>
      <c r="F492" s="272" t="s">
        <v>636</v>
      </c>
      <c r="G492" s="334" t="s">
        <v>31</v>
      </c>
      <c r="H492" s="298"/>
      <c r="I492" s="292">
        <v>40</v>
      </c>
      <c r="J492" s="330"/>
      <c r="K492" s="286"/>
      <c r="L492" s="286"/>
      <c r="M492" s="286"/>
      <c r="N492" s="286"/>
      <c r="O492" s="286"/>
      <c r="P492" s="286"/>
      <c r="Q492" s="286"/>
      <c r="R492" s="286"/>
      <c r="S492" s="286"/>
      <c r="T492" s="330"/>
      <c r="U492" s="286"/>
      <c r="V492" s="294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335"/>
      <c r="AK492" s="333"/>
      <c r="AL492" s="336"/>
      <c r="AM492" s="287"/>
      <c r="AN492" s="287"/>
      <c r="AO492" s="287"/>
      <c r="AP492" s="286"/>
      <c r="AQ492" s="296"/>
      <c r="AR492" s="286"/>
      <c r="AS492" s="286"/>
      <c r="AT492" s="286"/>
      <c r="AU492" s="286"/>
      <c r="AV492" s="286"/>
      <c r="AW492" s="286"/>
      <c r="AX492" s="286"/>
      <c r="AY492" s="286"/>
      <c r="AZ492" s="286"/>
      <c r="BA492" s="286"/>
      <c r="BB492" s="286"/>
      <c r="BC492" s="286"/>
      <c r="BD492" s="287"/>
      <c r="BE492" s="287"/>
      <c r="BF492" s="287"/>
      <c r="BG492" s="288"/>
      <c r="BH492" s="287"/>
      <c r="BI492" s="287"/>
      <c r="BJ492" s="287"/>
      <c r="BK492" s="287"/>
      <c r="BL492" s="287"/>
      <c r="BM492" s="287"/>
      <c r="BN492" s="287"/>
      <c r="BO492" s="287"/>
      <c r="BP492" s="287"/>
      <c r="BQ492" s="287"/>
      <c r="BR492" s="287"/>
      <c r="BS492" s="287"/>
      <c r="BT492" s="287"/>
      <c r="BU492" s="287"/>
      <c r="BV492" s="287"/>
      <c r="BW492" s="287"/>
      <c r="BX492" s="286"/>
      <c r="BY492" s="289"/>
      <c r="BZ492" s="289"/>
      <c r="CA492" s="289"/>
      <c r="CB492" s="289"/>
      <c r="CC492" s="289"/>
      <c r="CD492" s="289"/>
      <c r="CE492" s="289"/>
      <c r="CF492" s="289"/>
      <c r="CG492" s="287"/>
      <c r="CH492" s="287"/>
      <c r="CI492" s="287"/>
      <c r="CJ492" s="287"/>
      <c r="CK492" s="287"/>
      <c r="CL492" s="287"/>
      <c r="CM492" s="287"/>
      <c r="CN492" s="287"/>
      <c r="CO492" s="287"/>
      <c r="CP492" s="287"/>
      <c r="CQ492" s="287"/>
      <c r="CR492" s="287"/>
      <c r="CS492" s="288"/>
      <c r="CT492" s="6"/>
      <c r="CU492" s="6"/>
      <c r="CV492" s="6"/>
      <c r="CW492" s="6"/>
      <c r="CX492" s="6"/>
      <c r="CY492" s="6"/>
      <c r="CZ492" s="6"/>
      <c r="DA492" s="343">
        <f>H492</f>
        <v>0</v>
      </c>
    </row>
    <row r="493" spans="1:105" ht="20" customHeight="1" x14ac:dyDescent="0.35">
      <c r="A493" s="290" t="s">
        <v>1086</v>
      </c>
      <c r="B493" s="270" t="s">
        <v>1041</v>
      </c>
      <c r="C493" s="270" t="s">
        <v>1710</v>
      </c>
      <c r="D493" s="297" t="s">
        <v>627</v>
      </c>
      <c r="E493" s="270" t="s">
        <v>422</v>
      </c>
      <c r="F493" s="270" t="s">
        <v>1666</v>
      </c>
      <c r="G493" s="334" t="s">
        <v>40</v>
      </c>
      <c r="H493" s="298">
        <f>22.08/12</f>
        <v>1.8399999999999999</v>
      </c>
      <c r="I493" s="292">
        <v>2.2999999999999998</v>
      </c>
      <c r="J493" s="342">
        <v>2.5</v>
      </c>
      <c r="K493" s="286"/>
      <c r="L493" s="286">
        <v>2.8</v>
      </c>
      <c r="M493" s="286">
        <v>2.8</v>
      </c>
      <c r="N493" s="292">
        <v>2.5</v>
      </c>
      <c r="O493" s="286">
        <v>2.5</v>
      </c>
      <c r="P493" s="292">
        <v>2.5</v>
      </c>
      <c r="Q493" s="286">
        <v>2.5</v>
      </c>
      <c r="R493" s="286">
        <v>2.5</v>
      </c>
      <c r="S493" s="286">
        <v>3</v>
      </c>
      <c r="T493" s="330">
        <v>2.5</v>
      </c>
      <c r="U493" s="286"/>
      <c r="V493" s="294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>
        <v>2.5</v>
      </c>
      <c r="AJ493" s="335">
        <v>3</v>
      </c>
      <c r="AK493" s="295">
        <v>2.5</v>
      </c>
      <c r="AL493" s="336">
        <v>2.5</v>
      </c>
      <c r="AM493" s="287">
        <v>2.8</v>
      </c>
      <c r="AN493" s="287"/>
      <c r="AO493" s="287"/>
      <c r="AP493" s="286">
        <v>2.5</v>
      </c>
      <c r="AQ493" s="296">
        <v>2.8</v>
      </c>
      <c r="AR493" s="286">
        <v>2.5</v>
      </c>
      <c r="AS493" s="286"/>
      <c r="AT493" s="286">
        <v>2.5</v>
      </c>
      <c r="AU493" s="286">
        <v>2.5</v>
      </c>
      <c r="AV493" s="286">
        <v>2.5</v>
      </c>
      <c r="AW493" s="286">
        <v>2.5</v>
      </c>
      <c r="AX493" s="286">
        <v>2.5</v>
      </c>
      <c r="AY493" s="286">
        <v>2.5</v>
      </c>
      <c r="AZ493" s="286">
        <v>2.5</v>
      </c>
      <c r="BA493" s="286">
        <v>2.5</v>
      </c>
      <c r="BB493" s="286">
        <f>BA493</f>
        <v>2.5</v>
      </c>
      <c r="BC493" s="286">
        <v>2.5</v>
      </c>
      <c r="BD493" s="287"/>
      <c r="BE493" s="287"/>
      <c r="BF493" s="287"/>
      <c r="BG493" s="288">
        <v>2.8</v>
      </c>
      <c r="BH493" s="287"/>
      <c r="BI493" s="287"/>
      <c r="BJ493" s="287"/>
      <c r="BK493" s="287"/>
      <c r="BL493" s="287"/>
      <c r="BM493" s="287"/>
      <c r="BN493" s="287"/>
      <c r="BO493" s="287"/>
      <c r="BP493" s="287"/>
      <c r="BQ493" s="287"/>
      <c r="BR493" s="287"/>
      <c r="BS493" s="287"/>
      <c r="BT493" s="287"/>
      <c r="BU493" s="287">
        <v>2.5</v>
      </c>
      <c r="BV493" s="287"/>
      <c r="BW493" s="287"/>
      <c r="BX493" s="286">
        <v>2.5</v>
      </c>
      <c r="BY493" s="289"/>
      <c r="BZ493" s="289">
        <v>2.5</v>
      </c>
      <c r="CA493" s="289"/>
      <c r="CB493" s="289">
        <v>3</v>
      </c>
      <c r="CC493" s="289"/>
      <c r="CD493" s="289"/>
      <c r="CE493" s="289"/>
      <c r="CF493" s="289"/>
      <c r="CG493" s="287"/>
      <c r="CH493" s="287"/>
      <c r="CI493" s="287"/>
      <c r="CJ493" s="287"/>
      <c r="CK493" s="287"/>
      <c r="CL493" s="287"/>
      <c r="CM493" s="342">
        <v>2.5</v>
      </c>
      <c r="CN493" s="342">
        <v>2.5</v>
      </c>
      <c r="CO493" s="342">
        <v>2.5</v>
      </c>
      <c r="CP493" s="287"/>
      <c r="CQ493" s="287">
        <v>2.5</v>
      </c>
      <c r="CR493" s="287">
        <v>2.8</v>
      </c>
      <c r="CS493" s="288">
        <v>2.2999999999999998</v>
      </c>
      <c r="CT493" s="6"/>
      <c r="CU493" s="6"/>
      <c r="CV493" s="6"/>
      <c r="CW493" s="6"/>
      <c r="CX493" s="6"/>
      <c r="CY493" s="6"/>
      <c r="CZ493" s="6"/>
      <c r="DA493" s="343">
        <f t="shared" si="16"/>
        <v>1.8399999999999999</v>
      </c>
    </row>
    <row r="494" spans="1:105" ht="20" customHeight="1" x14ac:dyDescent="0.35">
      <c r="A494" s="290" t="s">
        <v>2128</v>
      </c>
      <c r="B494" s="270" t="s">
        <v>1041</v>
      </c>
      <c r="C494" s="270" t="s">
        <v>1710</v>
      </c>
      <c r="D494" s="297" t="s">
        <v>627</v>
      </c>
      <c r="E494" s="270" t="s">
        <v>422</v>
      </c>
      <c r="F494" s="270" t="s">
        <v>1666</v>
      </c>
      <c r="G494" s="334" t="s">
        <v>40</v>
      </c>
      <c r="H494" s="298">
        <f>22.08/12</f>
        <v>1.8399999999999999</v>
      </c>
      <c r="I494" s="292"/>
      <c r="J494" s="342"/>
      <c r="K494" s="286"/>
      <c r="L494" s="286"/>
      <c r="M494" s="286"/>
      <c r="N494" s="292"/>
      <c r="O494" s="286"/>
      <c r="P494" s="292"/>
      <c r="Q494" s="286"/>
      <c r="R494" s="286"/>
      <c r="S494" s="286"/>
      <c r="T494" s="330"/>
      <c r="U494" s="286"/>
      <c r="V494" s="294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335"/>
      <c r="AK494" s="295"/>
      <c r="AL494" s="336"/>
      <c r="AM494" s="287"/>
      <c r="AN494" s="287"/>
      <c r="AO494" s="287"/>
      <c r="AP494" s="286"/>
      <c r="AQ494" s="296"/>
      <c r="AR494" s="286"/>
      <c r="AS494" s="286"/>
      <c r="AT494" s="286"/>
      <c r="AU494" s="286"/>
      <c r="AV494" s="286"/>
      <c r="AW494" s="286"/>
      <c r="AX494" s="286"/>
      <c r="AY494" s="286"/>
      <c r="AZ494" s="286"/>
      <c r="BA494" s="286"/>
      <c r="BB494" s="286"/>
      <c r="BC494" s="286"/>
      <c r="BD494" s="287"/>
      <c r="BE494" s="287"/>
      <c r="BF494" s="287"/>
      <c r="BG494" s="288"/>
      <c r="BH494" s="287"/>
      <c r="BI494" s="287"/>
      <c r="BJ494" s="287"/>
      <c r="BK494" s="287"/>
      <c r="BL494" s="287"/>
      <c r="BM494" s="287"/>
      <c r="BN494" s="287"/>
      <c r="BO494" s="287"/>
      <c r="BP494" s="287"/>
      <c r="BQ494" s="287"/>
      <c r="BR494" s="287"/>
      <c r="BS494" s="287"/>
      <c r="BT494" s="287"/>
      <c r="BU494" s="287"/>
      <c r="BV494" s="287"/>
      <c r="BW494" s="287"/>
      <c r="BX494" s="286"/>
      <c r="BY494" s="289"/>
      <c r="BZ494" s="289"/>
      <c r="CA494" s="289"/>
      <c r="CB494" s="289"/>
      <c r="CC494" s="289"/>
      <c r="CD494" s="289"/>
      <c r="CE494" s="289"/>
      <c r="CF494" s="289"/>
      <c r="CG494" s="287"/>
      <c r="CH494" s="287"/>
      <c r="CI494" s="287"/>
      <c r="CJ494" s="287"/>
      <c r="CK494" s="287"/>
      <c r="CL494" s="287"/>
      <c r="CM494" s="342"/>
      <c r="CN494" s="287"/>
      <c r="CO494" s="342"/>
      <c r="CP494" s="287"/>
      <c r="CQ494" s="287">
        <v>2.5</v>
      </c>
      <c r="CR494" s="287">
        <v>2.8</v>
      </c>
      <c r="CS494" s="288">
        <v>2.2999999999999998</v>
      </c>
      <c r="CT494" s="6"/>
      <c r="CU494" s="6"/>
      <c r="CV494" s="6"/>
      <c r="CW494" s="6"/>
      <c r="CX494" s="6"/>
      <c r="CY494" s="6"/>
      <c r="CZ494" s="6"/>
      <c r="DA494" s="343">
        <f>H494</f>
        <v>1.8399999999999999</v>
      </c>
    </row>
    <row r="495" spans="1:105" ht="20" customHeight="1" x14ac:dyDescent="0.35">
      <c r="A495" s="290" t="s">
        <v>86</v>
      </c>
      <c r="B495" s="270" t="s">
        <v>1042</v>
      </c>
      <c r="C495" s="270" t="s">
        <v>1710</v>
      </c>
      <c r="D495" s="297" t="s">
        <v>627</v>
      </c>
      <c r="E495" s="270" t="s">
        <v>423</v>
      </c>
      <c r="F495" s="270" t="s">
        <v>1666</v>
      </c>
      <c r="G495" s="334" t="s">
        <v>109</v>
      </c>
      <c r="H495" s="298">
        <f>22.08/12</f>
        <v>1.8399999999999999</v>
      </c>
      <c r="I495" s="292">
        <v>2.2999999999999998</v>
      </c>
      <c r="J495" s="342">
        <v>2.5</v>
      </c>
      <c r="K495" s="286"/>
      <c r="L495" s="286">
        <v>2.8</v>
      </c>
      <c r="M495" s="286">
        <v>2.8</v>
      </c>
      <c r="N495" s="292">
        <v>2.5</v>
      </c>
      <c r="O495" s="286">
        <v>2.5</v>
      </c>
      <c r="P495" s="292">
        <v>2.5</v>
      </c>
      <c r="Q495" s="286">
        <v>2.5</v>
      </c>
      <c r="R495" s="286">
        <v>2.5</v>
      </c>
      <c r="S495" s="286">
        <v>3</v>
      </c>
      <c r="T495" s="330">
        <v>2.5</v>
      </c>
      <c r="U495" s="286"/>
      <c r="V495" s="294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>
        <v>2.5</v>
      </c>
      <c r="AJ495" s="335">
        <v>3</v>
      </c>
      <c r="AK495" s="295">
        <v>2.5</v>
      </c>
      <c r="AL495" s="336">
        <v>2.5</v>
      </c>
      <c r="AM495" s="287">
        <v>2.8</v>
      </c>
      <c r="AN495" s="287"/>
      <c r="AO495" s="287"/>
      <c r="AP495" s="286">
        <v>2.5</v>
      </c>
      <c r="AQ495" s="296">
        <v>2.8</v>
      </c>
      <c r="AR495" s="286">
        <v>2.5</v>
      </c>
      <c r="AS495" s="286"/>
      <c r="AT495" s="286">
        <v>2.5</v>
      </c>
      <c r="AU495" s="286">
        <v>2.5</v>
      </c>
      <c r="AV495" s="286">
        <v>2.5</v>
      </c>
      <c r="AW495" s="286">
        <v>2.5</v>
      </c>
      <c r="AX495" s="286">
        <v>2.5</v>
      </c>
      <c r="AY495" s="286">
        <v>2.5</v>
      </c>
      <c r="AZ495" s="286">
        <v>2.5</v>
      </c>
      <c r="BA495" s="286">
        <v>2.5</v>
      </c>
      <c r="BB495" s="286">
        <f>BA495</f>
        <v>2.5</v>
      </c>
      <c r="BC495" s="286">
        <v>2.5</v>
      </c>
      <c r="BD495" s="287"/>
      <c r="BE495" s="287"/>
      <c r="BF495" s="287"/>
      <c r="BG495" s="288">
        <v>2.8</v>
      </c>
      <c r="BH495" s="287"/>
      <c r="BI495" s="287"/>
      <c r="BJ495" s="287"/>
      <c r="BK495" s="287"/>
      <c r="BL495" s="287"/>
      <c r="BM495" s="287"/>
      <c r="BN495" s="287"/>
      <c r="BO495" s="287"/>
      <c r="BP495" s="287"/>
      <c r="BQ495" s="287"/>
      <c r="BR495" s="287"/>
      <c r="BS495" s="287"/>
      <c r="BT495" s="287"/>
      <c r="BU495" s="287">
        <v>2.5</v>
      </c>
      <c r="BV495" s="287"/>
      <c r="BW495" s="287"/>
      <c r="BX495" s="286">
        <v>2.5</v>
      </c>
      <c r="BY495" s="289"/>
      <c r="BZ495" s="289">
        <v>2.5</v>
      </c>
      <c r="CA495" s="289"/>
      <c r="CB495" s="289">
        <v>3</v>
      </c>
      <c r="CC495" s="289"/>
      <c r="CD495" s="289"/>
      <c r="CE495" s="289"/>
      <c r="CF495" s="289"/>
      <c r="CG495" s="287"/>
      <c r="CH495" s="287"/>
      <c r="CI495" s="287"/>
      <c r="CJ495" s="287"/>
      <c r="CK495" s="287"/>
      <c r="CL495" s="287"/>
      <c r="CM495" s="342">
        <v>2.5</v>
      </c>
      <c r="CN495" s="342">
        <v>2.5</v>
      </c>
      <c r="CO495" s="342">
        <v>2.5</v>
      </c>
      <c r="CP495" s="287"/>
      <c r="CQ495" s="287">
        <v>2.5</v>
      </c>
      <c r="CR495" s="287"/>
      <c r="CS495" s="288">
        <v>2.2999999999999998</v>
      </c>
      <c r="CT495" s="6"/>
      <c r="CU495" s="6"/>
      <c r="CV495" s="6"/>
      <c r="CW495" s="6"/>
      <c r="CX495" s="6"/>
      <c r="CY495" s="6"/>
      <c r="CZ495" s="6"/>
      <c r="DA495" s="343">
        <f t="shared" si="16"/>
        <v>1.8399999999999999</v>
      </c>
    </row>
    <row r="496" spans="1:105" ht="20" customHeight="1" x14ac:dyDescent="0.35">
      <c r="A496" s="290" t="s">
        <v>2131</v>
      </c>
      <c r="B496" s="270" t="s">
        <v>1042</v>
      </c>
      <c r="C496" s="270" t="s">
        <v>1710</v>
      </c>
      <c r="D496" s="297" t="s">
        <v>627</v>
      </c>
      <c r="E496" s="270" t="s">
        <v>423</v>
      </c>
      <c r="F496" s="270" t="s">
        <v>1666</v>
      </c>
      <c r="G496" s="334" t="s">
        <v>109</v>
      </c>
      <c r="H496" s="298">
        <f>22.08/12</f>
        <v>1.8399999999999999</v>
      </c>
      <c r="I496" s="292"/>
      <c r="J496" s="342"/>
      <c r="K496" s="286"/>
      <c r="L496" s="286"/>
      <c r="M496" s="286"/>
      <c r="N496" s="292"/>
      <c r="O496" s="286"/>
      <c r="P496" s="292"/>
      <c r="Q496" s="286"/>
      <c r="R496" s="286"/>
      <c r="S496" s="286"/>
      <c r="T496" s="330"/>
      <c r="U496" s="286"/>
      <c r="V496" s="294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335"/>
      <c r="AK496" s="295"/>
      <c r="AL496" s="336"/>
      <c r="AM496" s="287"/>
      <c r="AN496" s="287"/>
      <c r="AO496" s="287"/>
      <c r="AP496" s="286"/>
      <c r="AQ496" s="296"/>
      <c r="AR496" s="286"/>
      <c r="AS496" s="286"/>
      <c r="AT496" s="286"/>
      <c r="AU496" s="286"/>
      <c r="AV496" s="286"/>
      <c r="AW496" s="286"/>
      <c r="AX496" s="286"/>
      <c r="AY496" s="286"/>
      <c r="AZ496" s="286"/>
      <c r="BA496" s="286"/>
      <c r="BB496" s="286"/>
      <c r="BC496" s="286"/>
      <c r="BD496" s="287"/>
      <c r="BE496" s="287"/>
      <c r="BF496" s="287"/>
      <c r="BG496" s="288"/>
      <c r="BH496" s="287"/>
      <c r="BI496" s="287"/>
      <c r="BJ496" s="287"/>
      <c r="BK496" s="287"/>
      <c r="BL496" s="287"/>
      <c r="BM496" s="287"/>
      <c r="BN496" s="287"/>
      <c r="BO496" s="287"/>
      <c r="BP496" s="287"/>
      <c r="BQ496" s="287"/>
      <c r="BR496" s="287"/>
      <c r="BS496" s="287"/>
      <c r="BT496" s="287"/>
      <c r="BU496" s="287"/>
      <c r="BV496" s="287"/>
      <c r="BW496" s="287"/>
      <c r="BX496" s="286"/>
      <c r="BY496" s="289"/>
      <c r="BZ496" s="289"/>
      <c r="CA496" s="289"/>
      <c r="CB496" s="289"/>
      <c r="CC496" s="289"/>
      <c r="CD496" s="289"/>
      <c r="CE496" s="289"/>
      <c r="CF496" s="289"/>
      <c r="CG496" s="287"/>
      <c r="CH496" s="287"/>
      <c r="CI496" s="287"/>
      <c r="CJ496" s="287"/>
      <c r="CK496" s="287"/>
      <c r="CL496" s="287"/>
      <c r="CM496" s="342"/>
      <c r="CN496" s="287"/>
      <c r="CO496" s="342"/>
      <c r="CP496" s="287"/>
      <c r="CQ496" s="287">
        <v>2.5</v>
      </c>
      <c r="CR496" s="287"/>
      <c r="CS496" s="288">
        <v>2.2999999999999998</v>
      </c>
      <c r="CT496" s="6"/>
      <c r="CU496" s="6"/>
      <c r="CV496" s="6"/>
      <c r="CW496" s="6"/>
      <c r="CX496" s="6"/>
      <c r="CY496" s="6"/>
      <c r="CZ496" s="6"/>
      <c r="DA496" s="343">
        <f>H496</f>
        <v>1.8399999999999999</v>
      </c>
    </row>
    <row r="497" spans="1:105" ht="20" customHeight="1" x14ac:dyDescent="0.35">
      <c r="A497" s="290"/>
      <c r="B497" s="270" t="s">
        <v>1043</v>
      </c>
      <c r="C497" s="270" t="s">
        <v>1710</v>
      </c>
      <c r="D497" s="297" t="s">
        <v>627</v>
      </c>
      <c r="E497" s="270" t="s">
        <v>424</v>
      </c>
      <c r="F497" s="270" t="s">
        <v>1666</v>
      </c>
      <c r="G497" s="334" t="s">
        <v>109</v>
      </c>
      <c r="H497" s="298">
        <f>22.08/12</f>
        <v>1.8399999999999999</v>
      </c>
      <c r="I497" s="292">
        <v>2.2999999999999998</v>
      </c>
      <c r="J497" s="342">
        <v>2.5</v>
      </c>
      <c r="K497" s="286"/>
      <c r="L497" s="286">
        <v>2.8</v>
      </c>
      <c r="M497" s="286">
        <v>2.8</v>
      </c>
      <c r="N497" s="292">
        <v>2.5</v>
      </c>
      <c r="O497" s="286">
        <v>2.5</v>
      </c>
      <c r="P497" s="292">
        <v>2.5</v>
      </c>
      <c r="Q497" s="286">
        <v>2.5</v>
      </c>
      <c r="R497" s="286">
        <v>2.5</v>
      </c>
      <c r="S497" s="286">
        <v>3</v>
      </c>
      <c r="T497" s="330">
        <v>2.5</v>
      </c>
      <c r="U497" s="286"/>
      <c r="V497" s="294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>
        <v>2.5</v>
      </c>
      <c r="AJ497" s="335">
        <v>3</v>
      </c>
      <c r="AK497" s="295">
        <v>2.5</v>
      </c>
      <c r="AL497" s="336"/>
      <c r="AM497" s="287">
        <v>2.8</v>
      </c>
      <c r="AN497" s="287"/>
      <c r="AO497" s="287"/>
      <c r="AP497" s="286">
        <v>2.5</v>
      </c>
      <c r="AQ497" s="296">
        <v>2.8</v>
      </c>
      <c r="AR497" s="286">
        <v>2.5</v>
      </c>
      <c r="AS497" s="286"/>
      <c r="AT497" s="286">
        <v>2.5</v>
      </c>
      <c r="AU497" s="286">
        <v>2.5</v>
      </c>
      <c r="AV497" s="286">
        <v>2.5</v>
      </c>
      <c r="AW497" s="286">
        <v>2.5</v>
      </c>
      <c r="AX497" s="286">
        <v>2.5</v>
      </c>
      <c r="AY497" s="286">
        <v>2.5</v>
      </c>
      <c r="AZ497" s="286">
        <v>2.5</v>
      </c>
      <c r="BA497" s="286">
        <v>2.5</v>
      </c>
      <c r="BB497" s="286">
        <f>BA497</f>
        <v>2.5</v>
      </c>
      <c r="BC497" s="286">
        <v>2.5</v>
      </c>
      <c r="BD497" s="287"/>
      <c r="BE497" s="287"/>
      <c r="BF497" s="287"/>
      <c r="BG497" s="288">
        <v>2.8</v>
      </c>
      <c r="BH497" s="287"/>
      <c r="BI497" s="287"/>
      <c r="BJ497" s="287"/>
      <c r="BK497" s="287"/>
      <c r="BL497" s="287"/>
      <c r="BM497" s="287"/>
      <c r="BN497" s="287"/>
      <c r="BO497" s="287"/>
      <c r="BP497" s="287"/>
      <c r="BQ497" s="287"/>
      <c r="BR497" s="287"/>
      <c r="BS497" s="287"/>
      <c r="BT497" s="287"/>
      <c r="BU497" s="287">
        <v>2.5</v>
      </c>
      <c r="BV497" s="287"/>
      <c r="BW497" s="287"/>
      <c r="BX497" s="286">
        <v>2.5</v>
      </c>
      <c r="BY497" s="289"/>
      <c r="BZ497" s="289">
        <v>2.5</v>
      </c>
      <c r="CA497" s="289"/>
      <c r="CB497" s="289">
        <v>3</v>
      </c>
      <c r="CC497" s="289"/>
      <c r="CD497" s="289"/>
      <c r="CE497" s="289"/>
      <c r="CF497" s="289"/>
      <c r="CG497" s="287"/>
      <c r="CH497" s="287"/>
      <c r="CI497" s="287"/>
      <c r="CJ497" s="287"/>
      <c r="CK497" s="287"/>
      <c r="CL497" s="287"/>
      <c r="CM497" s="287"/>
      <c r="CN497" s="287"/>
      <c r="CO497" s="287"/>
      <c r="CP497" s="287"/>
      <c r="CQ497" s="287"/>
      <c r="CR497" s="287"/>
      <c r="CS497" s="288">
        <v>2.2999999999999998</v>
      </c>
      <c r="CT497" s="6"/>
      <c r="CU497" s="6"/>
      <c r="CV497" s="6"/>
      <c r="CW497" s="6"/>
      <c r="CX497" s="6"/>
      <c r="CY497" s="6"/>
      <c r="CZ497" s="6"/>
      <c r="DA497" s="343">
        <f t="shared" si="16"/>
        <v>1.8399999999999999</v>
      </c>
    </row>
    <row r="498" spans="1:105" ht="20" customHeight="1" x14ac:dyDescent="0.35">
      <c r="A498" s="290"/>
      <c r="B498" s="270" t="s">
        <v>1044</v>
      </c>
      <c r="C498" s="270" t="s">
        <v>1710</v>
      </c>
      <c r="D498" s="297" t="s">
        <v>627</v>
      </c>
      <c r="E498" s="270" t="s">
        <v>430</v>
      </c>
      <c r="F498" s="270" t="s">
        <v>1666</v>
      </c>
      <c r="G498" s="334" t="s">
        <v>31</v>
      </c>
      <c r="H498" s="298">
        <v>2.5</v>
      </c>
      <c r="I498" s="292">
        <v>4</v>
      </c>
      <c r="J498" s="342">
        <v>3.5</v>
      </c>
      <c r="K498" s="286"/>
      <c r="L498" s="286">
        <v>4</v>
      </c>
      <c r="M498" s="286">
        <v>4</v>
      </c>
      <c r="N498" s="286"/>
      <c r="O498" s="286">
        <v>4</v>
      </c>
      <c r="P498" s="286">
        <v>4</v>
      </c>
      <c r="Q498" s="286">
        <v>4</v>
      </c>
      <c r="R498" s="286">
        <v>4</v>
      </c>
      <c r="S498" s="286">
        <v>4</v>
      </c>
      <c r="T498" s="330">
        <v>3.5</v>
      </c>
      <c r="U498" s="286"/>
      <c r="V498" s="294"/>
      <c r="W498" s="286"/>
      <c r="X498" s="286"/>
      <c r="Y498" s="286"/>
      <c r="Z498" s="286"/>
      <c r="AA498" s="286"/>
      <c r="AB498" s="286"/>
      <c r="AC498" s="286"/>
      <c r="AD498" s="286"/>
      <c r="AE498" s="286">
        <v>4</v>
      </c>
      <c r="AF498" s="286"/>
      <c r="AG498" s="286"/>
      <c r="AH498" s="286"/>
      <c r="AI498" s="286">
        <v>3.5</v>
      </c>
      <c r="AJ498" s="335">
        <v>4</v>
      </c>
      <c r="AK498" s="295">
        <v>4.2</v>
      </c>
      <c r="AL498" s="336"/>
      <c r="AM498" s="287">
        <v>4.2</v>
      </c>
      <c r="AN498" s="287"/>
      <c r="AO498" s="287"/>
      <c r="AP498" s="286">
        <v>3.5</v>
      </c>
      <c r="AQ498" s="296"/>
      <c r="AR498" s="286">
        <v>3.5</v>
      </c>
      <c r="AS498" s="286"/>
      <c r="AT498" s="286">
        <v>3.5</v>
      </c>
      <c r="AU498" s="286">
        <v>3.5</v>
      </c>
      <c r="AV498" s="286">
        <v>3.5</v>
      </c>
      <c r="AW498" s="286">
        <v>3.5</v>
      </c>
      <c r="AX498" s="286">
        <v>3.5</v>
      </c>
      <c r="AY498" s="286">
        <v>3.5</v>
      </c>
      <c r="AZ498" s="286">
        <v>3.5</v>
      </c>
      <c r="BA498" s="286">
        <v>3.5</v>
      </c>
      <c r="BB498" s="286">
        <f>BA498</f>
        <v>3.5</v>
      </c>
      <c r="BC498" s="286">
        <v>3.5</v>
      </c>
      <c r="BD498" s="287"/>
      <c r="BE498" s="287"/>
      <c r="BF498" s="287"/>
      <c r="BG498" s="288">
        <v>4.5</v>
      </c>
      <c r="BH498" s="287"/>
      <c r="BI498" s="287"/>
      <c r="BJ498" s="287"/>
      <c r="BK498" s="287"/>
      <c r="BL498" s="287"/>
      <c r="BM498" s="287"/>
      <c r="BN498" s="287"/>
      <c r="BO498" s="287"/>
      <c r="BP498" s="287"/>
      <c r="BQ498" s="287"/>
      <c r="BR498" s="287"/>
      <c r="BS498" s="287"/>
      <c r="BT498" s="287"/>
      <c r="BU498" s="287">
        <v>4</v>
      </c>
      <c r="BV498" s="287"/>
      <c r="BW498" s="287"/>
      <c r="BX498" s="286">
        <v>3.5</v>
      </c>
      <c r="BY498" s="289"/>
      <c r="BZ498" s="289">
        <v>4</v>
      </c>
      <c r="CA498" s="289"/>
      <c r="CB498" s="289"/>
      <c r="CC498" s="289"/>
      <c r="CD498" s="289"/>
      <c r="CE498" s="289"/>
      <c r="CF498" s="289"/>
      <c r="CG498" s="287"/>
      <c r="CH498" s="287"/>
      <c r="CI498" s="287"/>
      <c r="CJ498" s="287"/>
      <c r="CK498" s="287"/>
      <c r="CL498" s="287"/>
      <c r="CM498" s="287"/>
      <c r="CN498" s="287"/>
      <c r="CO498" s="287"/>
      <c r="CP498" s="287"/>
      <c r="CQ498" s="287"/>
      <c r="CR498" s="287"/>
      <c r="CS498" s="288">
        <v>4</v>
      </c>
      <c r="CT498" s="6"/>
      <c r="CU498" s="6"/>
      <c r="CV498" s="6"/>
      <c r="CW498" s="6"/>
      <c r="CX498" s="6"/>
      <c r="CY498" s="6"/>
      <c r="CZ498" s="6"/>
      <c r="DA498" s="343">
        <f t="shared" si="16"/>
        <v>2.5</v>
      </c>
    </row>
    <row r="499" spans="1:105" ht="20" customHeight="1" x14ac:dyDescent="0.35">
      <c r="A499" s="337"/>
      <c r="B499" s="272" t="s">
        <v>1045</v>
      </c>
      <c r="C499" s="272" t="s">
        <v>1664</v>
      </c>
      <c r="D499" s="272" t="s">
        <v>627</v>
      </c>
      <c r="E499" s="272" t="s">
        <v>1668</v>
      </c>
      <c r="F499" s="272" t="s">
        <v>1771</v>
      </c>
      <c r="G499" s="270" t="s">
        <v>156</v>
      </c>
      <c r="H499" s="298"/>
      <c r="I499" s="280">
        <v>0</v>
      </c>
      <c r="J499" s="292">
        <v>0</v>
      </c>
      <c r="K499" s="286"/>
      <c r="L499" s="286"/>
      <c r="M499" s="286"/>
      <c r="N499" s="292">
        <v>22</v>
      </c>
      <c r="O499" s="286">
        <v>22</v>
      </c>
      <c r="P499" s="286"/>
      <c r="Q499" s="286"/>
      <c r="R499" s="286"/>
      <c r="S499" s="286"/>
      <c r="T499" s="286">
        <v>20</v>
      </c>
      <c r="U499" s="286"/>
      <c r="V499" s="294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3"/>
      <c r="AL499" s="288"/>
      <c r="AM499" s="287"/>
      <c r="AN499" s="287"/>
      <c r="AO499" s="287"/>
      <c r="AP499" s="286"/>
      <c r="AQ499" s="296"/>
      <c r="AR499" s="286"/>
      <c r="AS499" s="286"/>
      <c r="AT499" s="286"/>
      <c r="AU499" s="286"/>
      <c r="AV499" s="286"/>
      <c r="AW499" s="286"/>
      <c r="AX499" s="286"/>
      <c r="AY499" s="286"/>
      <c r="AZ499" s="286"/>
      <c r="BA499" s="286"/>
      <c r="BB499" s="286"/>
      <c r="BC499" s="286"/>
      <c r="BD499" s="287"/>
      <c r="BE499" s="287"/>
      <c r="BF499" s="287"/>
      <c r="BG499" s="287"/>
      <c r="BH499" s="287"/>
      <c r="BI499" s="287"/>
      <c r="BJ499" s="287"/>
      <c r="BK499" s="287"/>
      <c r="BL499" s="287"/>
      <c r="BM499" s="287"/>
      <c r="BN499" s="287"/>
      <c r="BO499" s="287"/>
      <c r="BP499" s="287"/>
      <c r="BQ499" s="287"/>
      <c r="BR499" s="287"/>
      <c r="BS499" s="287"/>
      <c r="BT499" s="287"/>
      <c r="BU499" s="287"/>
      <c r="BV499" s="287"/>
      <c r="BW499" s="287"/>
      <c r="BX499" s="286"/>
      <c r="BY499" s="289"/>
      <c r="BZ499" s="289"/>
      <c r="CA499" s="289"/>
      <c r="CB499" s="289"/>
      <c r="CC499" s="289"/>
      <c r="CD499" s="289"/>
      <c r="CE499" s="289"/>
      <c r="CF499" s="289"/>
      <c r="CG499" s="287"/>
      <c r="CH499" s="287"/>
      <c r="CI499" s="287"/>
      <c r="CJ499" s="287"/>
      <c r="CK499" s="287"/>
      <c r="CL499" s="287"/>
      <c r="CM499" s="287"/>
      <c r="CN499" s="287"/>
      <c r="CO499" s="287"/>
      <c r="CP499" s="287"/>
      <c r="CQ499" s="287"/>
      <c r="CR499" s="287"/>
      <c r="CS499" s="6"/>
      <c r="CT499" s="6"/>
      <c r="CU499" s="6"/>
      <c r="CV499" s="6"/>
      <c r="CW499" s="6"/>
      <c r="CX499" s="6"/>
      <c r="CY499" s="6"/>
      <c r="CZ499" s="6"/>
      <c r="DA499" s="343">
        <f t="shared" si="16"/>
        <v>0</v>
      </c>
    </row>
    <row r="500" spans="1:105" ht="20" customHeight="1" x14ac:dyDescent="0.35">
      <c r="A500" s="337"/>
      <c r="B500" s="270" t="s">
        <v>1046</v>
      </c>
      <c r="C500" s="272" t="s">
        <v>1664</v>
      </c>
      <c r="D500" s="270" t="s">
        <v>627</v>
      </c>
      <c r="E500" s="270" t="s">
        <v>423</v>
      </c>
      <c r="F500" s="272" t="s">
        <v>1771</v>
      </c>
      <c r="G500" s="270" t="s">
        <v>156</v>
      </c>
      <c r="H500" s="298"/>
      <c r="I500" s="286"/>
      <c r="J500" s="292">
        <v>0</v>
      </c>
      <c r="K500" s="286"/>
      <c r="L500" s="286"/>
      <c r="M500" s="286"/>
      <c r="N500" s="286"/>
      <c r="O500" s="286">
        <v>20</v>
      </c>
      <c r="P500" s="286"/>
      <c r="Q500" s="286"/>
      <c r="R500" s="286"/>
      <c r="S500" s="286"/>
      <c r="T500" s="286">
        <v>20</v>
      </c>
      <c r="U500" s="286"/>
      <c r="V500" s="294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7"/>
      <c r="AL500" s="288"/>
      <c r="AM500" s="287"/>
      <c r="AN500" s="287"/>
      <c r="AO500" s="287"/>
      <c r="AP500" s="286"/>
      <c r="AQ500" s="296"/>
      <c r="AR500" s="286"/>
      <c r="AS500" s="286"/>
      <c r="AT500" s="286"/>
      <c r="AU500" s="286"/>
      <c r="AV500" s="286"/>
      <c r="AW500" s="286"/>
      <c r="AX500" s="286"/>
      <c r="AY500" s="286"/>
      <c r="AZ500" s="286"/>
      <c r="BA500" s="286"/>
      <c r="BB500" s="286"/>
      <c r="BC500" s="286"/>
      <c r="BD500" s="287"/>
      <c r="BE500" s="287"/>
      <c r="BF500" s="287"/>
      <c r="BG500" s="287"/>
      <c r="BH500" s="287"/>
      <c r="BI500" s="287"/>
      <c r="BJ500" s="287"/>
      <c r="BK500" s="287"/>
      <c r="BL500" s="287"/>
      <c r="BM500" s="287"/>
      <c r="BN500" s="287"/>
      <c r="BO500" s="287"/>
      <c r="BP500" s="287"/>
      <c r="BQ500" s="287"/>
      <c r="BR500" s="287"/>
      <c r="BS500" s="287"/>
      <c r="BT500" s="287"/>
      <c r="BU500" s="287"/>
      <c r="BV500" s="287"/>
      <c r="BW500" s="287"/>
      <c r="BX500" s="286"/>
      <c r="BY500" s="289"/>
      <c r="BZ500" s="289"/>
      <c r="CA500" s="289"/>
      <c r="CB500" s="289"/>
      <c r="CC500" s="289"/>
      <c r="CD500" s="289"/>
      <c r="CE500" s="289"/>
      <c r="CF500" s="289"/>
      <c r="CG500" s="287"/>
      <c r="CH500" s="287"/>
      <c r="CI500" s="287"/>
      <c r="CJ500" s="287"/>
      <c r="CK500" s="287"/>
      <c r="CL500" s="287"/>
      <c r="CM500" s="287"/>
      <c r="CN500" s="287"/>
      <c r="CO500" s="287"/>
      <c r="CP500" s="287"/>
      <c r="CQ500" s="287"/>
      <c r="CR500" s="287"/>
      <c r="CS500" s="6"/>
      <c r="CT500" s="6"/>
      <c r="CU500" s="6"/>
      <c r="CV500" s="6"/>
      <c r="CW500" s="6"/>
      <c r="CX500" s="6"/>
      <c r="CY500" s="6"/>
      <c r="CZ500" s="6"/>
      <c r="DA500" s="343">
        <f t="shared" si="16"/>
        <v>0</v>
      </c>
    </row>
    <row r="501" spans="1:105" ht="20" customHeight="1" x14ac:dyDescent="0.35">
      <c r="A501" s="337"/>
      <c r="B501" s="270" t="s">
        <v>1047</v>
      </c>
      <c r="C501" s="272" t="s">
        <v>1664</v>
      </c>
      <c r="D501" s="270"/>
      <c r="E501" s="270" t="s">
        <v>424</v>
      </c>
      <c r="F501" s="272" t="s">
        <v>1771</v>
      </c>
      <c r="G501" s="270" t="s">
        <v>156</v>
      </c>
      <c r="H501" s="298"/>
      <c r="I501" s="286"/>
      <c r="J501" s="286"/>
      <c r="K501" s="286"/>
      <c r="L501" s="286"/>
      <c r="M501" s="286"/>
      <c r="N501" s="286"/>
      <c r="O501" s="286">
        <v>20</v>
      </c>
      <c r="P501" s="286"/>
      <c r="Q501" s="286"/>
      <c r="R501" s="286"/>
      <c r="S501" s="286"/>
      <c r="T501" s="286"/>
      <c r="U501" s="286"/>
      <c r="V501" s="294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7"/>
      <c r="AL501" s="288"/>
      <c r="AM501" s="287"/>
      <c r="AN501" s="287"/>
      <c r="AO501" s="287"/>
      <c r="AP501" s="286"/>
      <c r="AQ501" s="296"/>
      <c r="AR501" s="286"/>
      <c r="AS501" s="286"/>
      <c r="AT501" s="286"/>
      <c r="AU501" s="286"/>
      <c r="AV501" s="286"/>
      <c r="AW501" s="286"/>
      <c r="AX501" s="286"/>
      <c r="AY501" s="286"/>
      <c r="AZ501" s="286"/>
      <c r="BA501" s="286"/>
      <c r="BB501" s="286"/>
      <c r="BC501" s="286"/>
      <c r="BD501" s="287"/>
      <c r="BE501" s="287"/>
      <c r="BF501" s="287"/>
      <c r="BG501" s="287"/>
      <c r="BH501" s="287"/>
      <c r="BI501" s="287"/>
      <c r="BJ501" s="287"/>
      <c r="BK501" s="287"/>
      <c r="BL501" s="287"/>
      <c r="BM501" s="287"/>
      <c r="BN501" s="287"/>
      <c r="BO501" s="287"/>
      <c r="BP501" s="287"/>
      <c r="BQ501" s="287"/>
      <c r="BR501" s="287"/>
      <c r="BS501" s="287"/>
      <c r="BT501" s="287"/>
      <c r="BU501" s="287"/>
      <c r="BV501" s="287"/>
      <c r="BW501" s="287"/>
      <c r="BX501" s="286"/>
      <c r="BY501" s="289"/>
      <c r="BZ501" s="289"/>
      <c r="CA501" s="289"/>
      <c r="CB501" s="289"/>
      <c r="CC501" s="289"/>
      <c r="CD501" s="289"/>
      <c r="CE501" s="289"/>
      <c r="CF501" s="289"/>
      <c r="CG501" s="287"/>
      <c r="CH501" s="287"/>
      <c r="CI501" s="287"/>
      <c r="CJ501" s="287"/>
      <c r="CK501" s="287"/>
      <c r="CL501" s="287"/>
      <c r="CM501" s="287"/>
      <c r="CN501" s="287"/>
      <c r="CO501" s="287"/>
      <c r="CP501" s="287"/>
      <c r="CQ501" s="287"/>
      <c r="CR501" s="287"/>
      <c r="CS501" s="6"/>
      <c r="CT501" s="6"/>
      <c r="CU501" s="6"/>
      <c r="CV501" s="6"/>
      <c r="CW501" s="6"/>
      <c r="CX501" s="6"/>
      <c r="CY501" s="6"/>
      <c r="CZ501" s="6"/>
      <c r="DA501" s="343">
        <f t="shared" si="16"/>
        <v>0</v>
      </c>
    </row>
    <row r="502" spans="1:105" ht="20" customHeight="1" x14ac:dyDescent="0.35">
      <c r="A502" s="337"/>
      <c r="B502" s="270" t="s">
        <v>1048</v>
      </c>
      <c r="C502" s="270" t="s">
        <v>1665</v>
      </c>
      <c r="D502" s="270"/>
      <c r="E502" s="270" t="s">
        <v>430</v>
      </c>
      <c r="F502" s="270" t="s">
        <v>1853</v>
      </c>
      <c r="G502" s="270" t="s">
        <v>156</v>
      </c>
      <c r="H502" s="298">
        <v>22.5</v>
      </c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94"/>
      <c r="W502" s="286"/>
      <c r="X502" s="286"/>
      <c r="Y502" s="286"/>
      <c r="Z502" s="286"/>
      <c r="AA502" s="286"/>
      <c r="AB502" s="286">
        <v>35</v>
      </c>
      <c r="AC502" s="286"/>
      <c r="AD502" s="286"/>
      <c r="AE502" s="286">
        <v>35</v>
      </c>
      <c r="AF502" s="286"/>
      <c r="AG502" s="286"/>
      <c r="AH502" s="286"/>
      <c r="AI502" s="286"/>
      <c r="AJ502" s="286"/>
      <c r="AK502" s="287"/>
      <c r="AL502" s="288"/>
      <c r="AM502" s="287">
        <v>35</v>
      </c>
      <c r="AN502" s="287"/>
      <c r="AO502" s="287"/>
      <c r="AP502" s="286"/>
      <c r="AQ502" s="296"/>
      <c r="AR502" s="286"/>
      <c r="AS502" s="286"/>
      <c r="AT502" s="286"/>
      <c r="AU502" s="286"/>
      <c r="AV502" s="286"/>
      <c r="AW502" s="286"/>
      <c r="AX502" s="286"/>
      <c r="AY502" s="286"/>
      <c r="AZ502" s="286"/>
      <c r="BA502" s="286"/>
      <c r="BB502" s="286"/>
      <c r="BC502" s="286"/>
      <c r="BD502" s="287"/>
      <c r="BE502" s="287"/>
      <c r="BF502" s="287"/>
      <c r="BG502" s="287"/>
      <c r="BH502" s="287"/>
      <c r="BI502" s="287"/>
      <c r="BJ502" s="287"/>
      <c r="BK502" s="287"/>
      <c r="BL502" s="287"/>
      <c r="BM502" s="287"/>
      <c r="BN502" s="287"/>
      <c r="BO502" s="287"/>
      <c r="BP502" s="287"/>
      <c r="BQ502" s="287"/>
      <c r="BR502" s="287"/>
      <c r="BS502" s="287"/>
      <c r="BT502" s="287"/>
      <c r="BU502" s="287"/>
      <c r="BV502" s="287"/>
      <c r="BW502" s="287"/>
      <c r="BX502" s="286"/>
      <c r="BY502" s="289"/>
      <c r="BZ502" s="289"/>
      <c r="CA502" s="289"/>
      <c r="CB502" s="289"/>
      <c r="CC502" s="289"/>
      <c r="CD502" s="289"/>
      <c r="CE502" s="289"/>
      <c r="CF502" s="289"/>
      <c r="CG502" s="287"/>
      <c r="CH502" s="287"/>
      <c r="CI502" s="287"/>
      <c r="CJ502" s="287"/>
      <c r="CK502" s="287"/>
      <c r="CL502" s="287"/>
      <c r="CM502" s="287"/>
      <c r="CN502" s="287"/>
      <c r="CO502" s="287"/>
      <c r="CP502" s="287"/>
      <c r="CQ502" s="287"/>
      <c r="CR502" s="287"/>
      <c r="CS502" s="6"/>
      <c r="CT502" s="6"/>
      <c r="CU502" s="6"/>
      <c r="CV502" s="6"/>
      <c r="CW502" s="6"/>
      <c r="CX502" s="6"/>
      <c r="CY502" s="6"/>
      <c r="CZ502" s="6"/>
      <c r="DA502" s="343">
        <f t="shared" si="16"/>
        <v>22.5</v>
      </c>
    </row>
    <row r="503" spans="1:105" ht="20" customHeight="1" x14ac:dyDescent="0.35">
      <c r="A503" s="337"/>
      <c r="B503" s="270" t="s">
        <v>1049</v>
      </c>
      <c r="C503" s="270" t="s">
        <v>1573</v>
      </c>
      <c r="D503" s="270" t="s">
        <v>627</v>
      </c>
      <c r="E503" s="270" t="s">
        <v>152</v>
      </c>
      <c r="F503" s="270" t="s">
        <v>1854</v>
      </c>
      <c r="G503" s="270" t="s">
        <v>156</v>
      </c>
      <c r="H503" s="298">
        <v>12.08</v>
      </c>
      <c r="I503" s="286"/>
      <c r="J503" s="292"/>
      <c r="K503" s="286"/>
      <c r="L503" s="286"/>
      <c r="M503" s="286"/>
      <c r="N503" s="292">
        <v>18</v>
      </c>
      <c r="O503" s="286">
        <v>18</v>
      </c>
      <c r="P503" s="292">
        <v>18</v>
      </c>
      <c r="Q503" s="286">
        <v>18</v>
      </c>
      <c r="R503" s="286">
        <v>18</v>
      </c>
      <c r="S503" s="286"/>
      <c r="T503" s="286"/>
      <c r="U503" s="286"/>
      <c r="V503" s="294"/>
      <c r="W503" s="286"/>
      <c r="X503" s="286"/>
      <c r="Y503" s="286"/>
      <c r="Z503" s="286"/>
      <c r="AA503" s="286"/>
      <c r="AB503" s="286">
        <v>24</v>
      </c>
      <c r="AC503" s="286"/>
      <c r="AD503" s="286"/>
      <c r="AE503" s="286">
        <v>18.5</v>
      </c>
      <c r="AF503" s="286"/>
      <c r="AG503" s="286"/>
      <c r="AH503" s="286"/>
      <c r="AI503" s="286"/>
      <c r="AJ503" s="286"/>
      <c r="AK503" s="287"/>
      <c r="AL503" s="288"/>
      <c r="AM503" s="287"/>
      <c r="AN503" s="287"/>
      <c r="AO503" s="287"/>
      <c r="AP503" s="286"/>
      <c r="AQ503" s="296"/>
      <c r="AR503" s="286"/>
      <c r="AS503" s="286"/>
      <c r="AT503" s="292"/>
      <c r="AU503" s="286"/>
      <c r="AV503" s="292"/>
      <c r="AW503" s="286"/>
      <c r="AX503" s="286"/>
      <c r="AY503" s="286"/>
      <c r="AZ503" s="286"/>
      <c r="BA503" s="286"/>
      <c r="BB503" s="286"/>
      <c r="BC503" s="286"/>
      <c r="BD503" s="287"/>
      <c r="BE503" s="287"/>
      <c r="BF503" s="287"/>
      <c r="BG503" s="288">
        <v>18</v>
      </c>
      <c r="BH503" s="287"/>
      <c r="BI503" s="287"/>
      <c r="BJ503" s="287"/>
      <c r="BK503" s="287"/>
      <c r="BL503" s="287"/>
      <c r="BM503" s="287"/>
      <c r="BN503" s="287"/>
      <c r="BO503" s="287"/>
      <c r="BP503" s="287"/>
      <c r="BQ503" s="287"/>
      <c r="BR503" s="287"/>
      <c r="BS503" s="287"/>
      <c r="BT503" s="287"/>
      <c r="BU503" s="287"/>
      <c r="BV503" s="287"/>
      <c r="BW503" s="287"/>
      <c r="BX503" s="286"/>
      <c r="BY503" s="289"/>
      <c r="BZ503" s="289">
        <v>18</v>
      </c>
      <c r="CA503" s="289"/>
      <c r="CB503" s="289"/>
      <c r="CC503" s="289"/>
      <c r="CD503" s="289"/>
      <c r="CE503" s="289"/>
      <c r="CF503" s="289"/>
      <c r="CG503" s="287"/>
      <c r="CH503" s="287"/>
      <c r="CI503" s="287"/>
      <c r="CJ503" s="287"/>
      <c r="CK503" s="287"/>
      <c r="CL503" s="287"/>
      <c r="CM503" s="287"/>
      <c r="CN503" s="287"/>
      <c r="CO503" s="287"/>
      <c r="CP503" s="287"/>
      <c r="CQ503" s="287"/>
      <c r="CR503" s="287"/>
      <c r="CS503" s="6"/>
      <c r="CT503" s="6"/>
      <c r="CU503" s="6"/>
      <c r="CV503" s="6"/>
      <c r="CW503" s="6"/>
      <c r="CX503" s="6"/>
      <c r="CY503" s="6"/>
      <c r="CZ503" s="6"/>
      <c r="DA503" s="343">
        <f t="shared" si="16"/>
        <v>12.08</v>
      </c>
    </row>
    <row r="504" spans="1:105" ht="20" customHeight="1" x14ac:dyDescent="0.35">
      <c r="A504" s="337"/>
      <c r="B504" s="270" t="s">
        <v>1050</v>
      </c>
      <c r="C504" s="270" t="s">
        <v>1573</v>
      </c>
      <c r="D504" s="270"/>
      <c r="E504" s="270" t="s">
        <v>1941</v>
      </c>
      <c r="F504" s="270" t="s">
        <v>1854</v>
      </c>
      <c r="G504" s="270" t="s">
        <v>156</v>
      </c>
      <c r="H504" s="298">
        <v>16.68</v>
      </c>
      <c r="I504" s="286"/>
      <c r="J504" s="286"/>
      <c r="K504" s="286"/>
      <c r="L504" s="286"/>
      <c r="M504" s="286"/>
      <c r="N504" s="286"/>
      <c r="O504" s="286"/>
      <c r="P504" s="292">
        <v>22</v>
      </c>
      <c r="Q504" s="286"/>
      <c r="R504" s="286"/>
      <c r="S504" s="286"/>
      <c r="T504" s="286"/>
      <c r="U504" s="286"/>
      <c r="V504" s="294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7"/>
      <c r="AL504" s="288"/>
      <c r="AM504" s="287"/>
      <c r="AN504" s="287"/>
      <c r="AO504" s="287"/>
      <c r="AP504" s="286"/>
      <c r="AQ504" s="296"/>
      <c r="AR504" s="286"/>
      <c r="AS504" s="286"/>
      <c r="AT504" s="286"/>
      <c r="AU504" s="286"/>
      <c r="AV504" s="286"/>
      <c r="AW504" s="286"/>
      <c r="AX504" s="286"/>
      <c r="AY504" s="286"/>
      <c r="AZ504" s="286"/>
      <c r="BA504" s="286"/>
      <c r="BB504" s="286"/>
      <c r="BC504" s="286"/>
      <c r="BD504" s="287"/>
      <c r="BE504" s="287"/>
      <c r="BF504" s="287"/>
      <c r="BG504" s="288">
        <v>22</v>
      </c>
      <c r="BH504" s="287"/>
      <c r="BI504" s="287"/>
      <c r="BJ504" s="287"/>
      <c r="BK504" s="287"/>
      <c r="BL504" s="287"/>
      <c r="BM504" s="287"/>
      <c r="BN504" s="287"/>
      <c r="BO504" s="287"/>
      <c r="BP504" s="287"/>
      <c r="BQ504" s="287"/>
      <c r="BR504" s="287"/>
      <c r="BS504" s="287"/>
      <c r="BT504" s="287"/>
      <c r="BU504" s="287"/>
      <c r="BV504" s="287"/>
      <c r="BW504" s="287"/>
      <c r="BX504" s="286"/>
      <c r="BY504" s="289"/>
      <c r="BZ504" s="289"/>
      <c r="CA504" s="289"/>
      <c r="CB504" s="289"/>
      <c r="CC504" s="289"/>
      <c r="CD504" s="289"/>
      <c r="CE504" s="289"/>
      <c r="CF504" s="289"/>
      <c r="CG504" s="287"/>
      <c r="CH504" s="287"/>
      <c r="CI504" s="287"/>
      <c r="CJ504" s="287"/>
      <c r="CK504" s="287"/>
      <c r="CL504" s="287"/>
      <c r="CM504" s="287"/>
      <c r="CN504" s="287"/>
      <c r="CO504" s="287"/>
      <c r="CP504" s="287"/>
      <c r="CQ504" s="287"/>
      <c r="CR504" s="287">
        <v>24</v>
      </c>
      <c r="CS504" s="6"/>
      <c r="CT504" s="6"/>
      <c r="CU504" s="6"/>
      <c r="CV504" s="6"/>
      <c r="CW504" s="6"/>
      <c r="CX504" s="6"/>
      <c r="CY504" s="6"/>
      <c r="CZ504" s="6"/>
      <c r="DA504" s="343">
        <f t="shared" si="16"/>
        <v>16.68</v>
      </c>
    </row>
    <row r="505" spans="1:105" ht="20" customHeight="1" x14ac:dyDescent="0.35">
      <c r="A505" s="337" t="s">
        <v>2130</v>
      </c>
      <c r="B505" s="270" t="s">
        <v>1051</v>
      </c>
      <c r="C505" s="270" t="s">
        <v>1573</v>
      </c>
      <c r="D505" s="270" t="s">
        <v>627</v>
      </c>
      <c r="E505" s="270" t="s">
        <v>390</v>
      </c>
      <c r="F505" s="270" t="s">
        <v>1854</v>
      </c>
      <c r="G505" s="270" t="s">
        <v>156</v>
      </c>
      <c r="H505" s="298">
        <v>17.25</v>
      </c>
      <c r="I505" s="286"/>
      <c r="J505" s="286"/>
      <c r="K505" s="286"/>
      <c r="L505" s="286"/>
      <c r="M505" s="286"/>
      <c r="N505" s="286"/>
      <c r="O505" s="286"/>
      <c r="P505" s="292">
        <v>22</v>
      </c>
      <c r="Q505" s="286"/>
      <c r="R505" s="286"/>
      <c r="S505" s="286"/>
      <c r="T505" s="286"/>
      <c r="U505" s="286"/>
      <c r="V505" s="294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7">
        <v>23</v>
      </c>
      <c r="AL505" s="288"/>
      <c r="AM505" s="287"/>
      <c r="AN505" s="287"/>
      <c r="AO505" s="287"/>
      <c r="AP505" s="286"/>
      <c r="AQ505" s="296"/>
      <c r="AR505" s="286"/>
      <c r="AS505" s="286"/>
      <c r="AT505" s="286"/>
      <c r="AU505" s="286"/>
      <c r="AV505" s="286"/>
      <c r="AW505" s="286"/>
      <c r="AX505" s="286"/>
      <c r="AY505" s="286"/>
      <c r="AZ505" s="286"/>
      <c r="BA505" s="286"/>
      <c r="BB505" s="286"/>
      <c r="BC505" s="286"/>
      <c r="BD505" s="287"/>
      <c r="BE505" s="287"/>
      <c r="BF505" s="287"/>
      <c r="BG505" s="288">
        <v>22</v>
      </c>
      <c r="BH505" s="287"/>
      <c r="BI505" s="287"/>
      <c r="BJ505" s="287"/>
      <c r="BK505" s="287"/>
      <c r="BL505" s="287"/>
      <c r="BM505" s="287"/>
      <c r="BN505" s="287"/>
      <c r="BO505" s="287"/>
      <c r="BP505" s="287"/>
      <c r="BQ505" s="287"/>
      <c r="BR505" s="287"/>
      <c r="BS505" s="287"/>
      <c r="BT505" s="287"/>
      <c r="BU505" s="287"/>
      <c r="BV505" s="287"/>
      <c r="BW505" s="287"/>
      <c r="BX505" s="286"/>
      <c r="BY505" s="289"/>
      <c r="BZ505" s="289"/>
      <c r="CA505" s="289"/>
      <c r="CB505" s="289"/>
      <c r="CC505" s="289"/>
      <c r="CD505" s="289"/>
      <c r="CE505" s="289"/>
      <c r="CF505" s="289"/>
      <c r="CG505" s="287"/>
      <c r="CH505" s="287"/>
      <c r="CI505" s="287"/>
      <c r="CJ505" s="287"/>
      <c r="CK505" s="287"/>
      <c r="CL505" s="287"/>
      <c r="CM505" s="287"/>
      <c r="CN505" s="287"/>
      <c r="CO505" s="287"/>
      <c r="CP505" s="287"/>
      <c r="CQ505" s="287">
        <v>26</v>
      </c>
      <c r="CR505" s="287"/>
      <c r="CS505" s="6"/>
      <c r="CT505" s="6"/>
      <c r="CU505" s="6"/>
      <c r="CV505" s="6"/>
      <c r="CW505" s="6"/>
      <c r="CX505" s="6"/>
      <c r="CY505" s="6"/>
      <c r="CZ505" s="6"/>
      <c r="DA505" s="343">
        <f t="shared" si="16"/>
        <v>17.25</v>
      </c>
    </row>
    <row r="506" spans="1:105" ht="20" customHeight="1" x14ac:dyDescent="0.35">
      <c r="A506" s="337"/>
      <c r="B506" s="270" t="s">
        <v>1052</v>
      </c>
      <c r="C506" s="270" t="s">
        <v>1573</v>
      </c>
      <c r="D506" s="270"/>
      <c r="E506" s="270" t="s">
        <v>153</v>
      </c>
      <c r="F506" s="270" t="s">
        <v>1854</v>
      </c>
      <c r="G506" s="270" t="s">
        <v>156</v>
      </c>
      <c r="H506" s="298">
        <f>15.53*1.08</f>
        <v>16.772400000000001</v>
      </c>
      <c r="I506" s="286"/>
      <c r="J506" s="286"/>
      <c r="K506" s="286"/>
      <c r="L506" s="286"/>
      <c r="M506" s="286"/>
      <c r="N506" s="286"/>
      <c r="O506" s="286"/>
      <c r="P506" s="292">
        <v>22</v>
      </c>
      <c r="Q506" s="286"/>
      <c r="R506" s="286"/>
      <c r="S506" s="286"/>
      <c r="T506" s="286"/>
      <c r="U506" s="286"/>
      <c r="V506" s="294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7"/>
      <c r="AL506" s="288"/>
      <c r="AM506" s="287"/>
      <c r="AN506" s="287"/>
      <c r="AO506" s="287"/>
      <c r="AP506" s="286"/>
      <c r="AQ506" s="29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  <c r="BC506" s="286"/>
      <c r="BD506" s="287"/>
      <c r="BE506" s="287"/>
      <c r="BF506" s="287"/>
      <c r="BG506" s="288">
        <v>22</v>
      </c>
      <c r="BH506" s="287"/>
      <c r="BI506" s="287"/>
      <c r="BJ506" s="287"/>
      <c r="BK506" s="287"/>
      <c r="BL506" s="287"/>
      <c r="BM506" s="287"/>
      <c r="BN506" s="287"/>
      <c r="BO506" s="287"/>
      <c r="BP506" s="287"/>
      <c r="BQ506" s="287"/>
      <c r="BR506" s="287"/>
      <c r="BS506" s="287"/>
      <c r="BT506" s="287"/>
      <c r="BU506" s="287"/>
      <c r="BV506" s="287"/>
      <c r="BW506" s="287"/>
      <c r="BX506" s="286"/>
      <c r="BY506" s="289"/>
      <c r="BZ506" s="289"/>
      <c r="CA506" s="289"/>
      <c r="CB506" s="289"/>
      <c r="CC506" s="289"/>
      <c r="CD506" s="289"/>
      <c r="CE506" s="289"/>
      <c r="CF506" s="289"/>
      <c r="CG506" s="287"/>
      <c r="CH506" s="287"/>
      <c r="CI506" s="287"/>
      <c r="CJ506" s="287"/>
      <c r="CK506" s="287"/>
      <c r="CL506" s="287"/>
      <c r="CM506" s="287"/>
      <c r="CN506" s="287"/>
      <c r="CO506" s="287"/>
      <c r="CP506" s="287"/>
      <c r="CQ506" s="287"/>
      <c r="CR506" s="287"/>
      <c r="CS506" s="6"/>
      <c r="CT506" s="6"/>
      <c r="CU506" s="6"/>
      <c r="CV506" s="6"/>
      <c r="CW506" s="6"/>
      <c r="CX506" s="6"/>
      <c r="CY506" s="6"/>
      <c r="CZ506" s="6"/>
      <c r="DA506" s="343">
        <f t="shared" si="16"/>
        <v>16.772400000000001</v>
      </c>
    </row>
    <row r="507" spans="1:105" ht="20" customHeight="1" x14ac:dyDescent="0.35">
      <c r="A507" s="337"/>
      <c r="B507" s="270" t="s">
        <v>1053</v>
      </c>
      <c r="C507" s="270" t="s">
        <v>1573</v>
      </c>
      <c r="D507" s="270" t="s">
        <v>627</v>
      </c>
      <c r="E507" s="270" t="s">
        <v>391</v>
      </c>
      <c r="F507" s="270" t="s">
        <v>1854</v>
      </c>
      <c r="G507" s="270" t="s">
        <v>156</v>
      </c>
      <c r="H507" s="298">
        <v>18.98</v>
      </c>
      <c r="I507" s="286"/>
      <c r="J507" s="292"/>
      <c r="K507" s="286"/>
      <c r="L507" s="286"/>
      <c r="M507" s="286"/>
      <c r="N507" s="286"/>
      <c r="O507" s="286"/>
      <c r="P507" s="286">
        <v>22</v>
      </c>
      <c r="Q507" s="286"/>
      <c r="R507" s="286"/>
      <c r="S507" s="286"/>
      <c r="T507" s="286"/>
      <c r="U507" s="286"/>
      <c r="V507" s="294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7"/>
      <c r="AL507" s="288"/>
      <c r="AM507" s="287"/>
      <c r="AN507" s="287"/>
      <c r="AO507" s="287"/>
      <c r="AP507" s="286"/>
      <c r="AQ507" s="296"/>
      <c r="AR507" s="286"/>
      <c r="AS507" s="286"/>
      <c r="AT507" s="286"/>
      <c r="AU507" s="286"/>
      <c r="AV507" s="286"/>
      <c r="AW507" s="286"/>
      <c r="AX507" s="286"/>
      <c r="AY507" s="286"/>
      <c r="AZ507" s="286"/>
      <c r="BA507" s="286"/>
      <c r="BB507" s="286"/>
      <c r="BC507" s="286"/>
      <c r="BD507" s="287"/>
      <c r="BE507" s="287"/>
      <c r="BF507" s="287"/>
      <c r="BG507" s="288">
        <v>22</v>
      </c>
      <c r="BH507" s="287"/>
      <c r="BI507" s="287"/>
      <c r="BJ507" s="287"/>
      <c r="BK507" s="287"/>
      <c r="BL507" s="287"/>
      <c r="BM507" s="287"/>
      <c r="BN507" s="287"/>
      <c r="BO507" s="287"/>
      <c r="BP507" s="287"/>
      <c r="BQ507" s="287"/>
      <c r="BR507" s="287"/>
      <c r="BS507" s="287"/>
      <c r="BT507" s="287"/>
      <c r="BU507" s="287"/>
      <c r="BV507" s="287"/>
      <c r="BW507" s="287"/>
      <c r="BX507" s="286"/>
      <c r="BY507" s="289"/>
      <c r="BZ507" s="289">
        <v>22</v>
      </c>
      <c r="CA507" s="289"/>
      <c r="CB507" s="289"/>
      <c r="CC507" s="289"/>
      <c r="CD507" s="289"/>
      <c r="CE507" s="289"/>
      <c r="CF507" s="289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  <c r="CR507" s="287">
        <v>24</v>
      </c>
      <c r="CS507" s="6"/>
      <c r="CT507" s="6"/>
      <c r="CU507" s="6"/>
      <c r="CV507" s="6"/>
      <c r="CW507" s="6"/>
      <c r="CX507" s="6"/>
      <c r="CY507" s="6"/>
      <c r="CZ507" s="6"/>
      <c r="DA507" s="343">
        <f t="shared" si="16"/>
        <v>18.98</v>
      </c>
    </row>
    <row r="508" spans="1:105" ht="20" customHeight="1" x14ac:dyDescent="0.35">
      <c r="A508" s="321"/>
      <c r="B508" s="270" t="s">
        <v>1054</v>
      </c>
      <c r="C508" s="270" t="s">
        <v>1573</v>
      </c>
      <c r="D508" s="297" t="s">
        <v>353</v>
      </c>
      <c r="E508" s="270" t="s">
        <v>389</v>
      </c>
      <c r="F508" s="270" t="s">
        <v>1854</v>
      </c>
      <c r="G508" s="270" t="s">
        <v>156</v>
      </c>
      <c r="H508" s="298"/>
      <c r="I508" s="292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94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7"/>
      <c r="AL508" s="288"/>
      <c r="AM508" s="287"/>
      <c r="AN508" s="287"/>
      <c r="AO508" s="287"/>
      <c r="AP508" s="286"/>
      <c r="AQ508" s="296"/>
      <c r="AR508" s="286"/>
      <c r="AS508" s="286"/>
      <c r="AT508" s="286"/>
      <c r="AU508" s="286"/>
      <c r="AV508" s="286"/>
      <c r="AW508" s="286"/>
      <c r="AX508" s="286"/>
      <c r="AY508" s="286"/>
      <c r="AZ508" s="286"/>
      <c r="BA508" s="286"/>
      <c r="BB508" s="286"/>
      <c r="BC508" s="286"/>
      <c r="BD508" s="287"/>
      <c r="BE508" s="287"/>
      <c r="BF508" s="287"/>
      <c r="BG508" s="287"/>
      <c r="BH508" s="287"/>
      <c r="BI508" s="287"/>
      <c r="BJ508" s="287"/>
      <c r="BK508" s="287"/>
      <c r="BL508" s="287"/>
      <c r="BM508" s="287"/>
      <c r="BN508" s="287"/>
      <c r="BO508" s="287"/>
      <c r="BP508" s="287"/>
      <c r="BQ508" s="287"/>
      <c r="BR508" s="287"/>
      <c r="BS508" s="287"/>
      <c r="BT508" s="287"/>
      <c r="BU508" s="287"/>
      <c r="BV508" s="287"/>
      <c r="BW508" s="287"/>
      <c r="BX508" s="286"/>
      <c r="BY508" s="289"/>
      <c r="BZ508" s="289"/>
      <c r="CA508" s="289"/>
      <c r="CB508" s="289"/>
      <c r="CC508" s="289"/>
      <c r="CD508" s="289"/>
      <c r="CE508" s="289"/>
      <c r="CF508" s="289"/>
      <c r="CG508" s="287"/>
      <c r="CH508" s="287"/>
      <c r="CI508" s="287"/>
      <c r="CJ508" s="287"/>
      <c r="CK508" s="287"/>
      <c r="CL508" s="287"/>
      <c r="CM508" s="287"/>
      <c r="CN508" s="287"/>
      <c r="CO508" s="287"/>
      <c r="CP508" s="287"/>
      <c r="CQ508" s="287"/>
      <c r="CR508" s="287"/>
      <c r="CS508" s="6"/>
      <c r="CT508" s="6"/>
      <c r="CU508" s="6"/>
      <c r="CV508" s="6"/>
      <c r="CW508" s="6"/>
      <c r="CX508" s="6"/>
      <c r="CY508" s="6"/>
      <c r="CZ508" s="6"/>
      <c r="DA508" s="343">
        <f t="shared" si="16"/>
        <v>0</v>
      </c>
    </row>
    <row r="509" spans="1:105" ht="20" customHeight="1" x14ac:dyDescent="0.35">
      <c r="A509" s="337"/>
      <c r="B509" s="270" t="s">
        <v>1055</v>
      </c>
      <c r="C509" s="270" t="s">
        <v>1573</v>
      </c>
      <c r="D509" s="270"/>
      <c r="E509" s="270" t="s">
        <v>393</v>
      </c>
      <c r="F509" s="270" t="s">
        <v>1852</v>
      </c>
      <c r="G509" s="270" t="s">
        <v>156</v>
      </c>
      <c r="H509" s="298"/>
      <c r="I509" s="304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94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7"/>
      <c r="AL509" s="288"/>
      <c r="AM509" s="287"/>
      <c r="AN509" s="287"/>
      <c r="AO509" s="287"/>
      <c r="AP509" s="286"/>
      <c r="AQ509" s="29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  <c r="BC509" s="286"/>
      <c r="BD509" s="287"/>
      <c r="BE509" s="287"/>
      <c r="BF509" s="287"/>
      <c r="BG509" s="287"/>
      <c r="BH509" s="287"/>
      <c r="BI509" s="287"/>
      <c r="BJ509" s="287"/>
      <c r="BK509" s="287"/>
      <c r="BL509" s="287"/>
      <c r="BM509" s="287"/>
      <c r="BN509" s="287"/>
      <c r="BO509" s="287"/>
      <c r="BP509" s="287"/>
      <c r="BQ509" s="287"/>
      <c r="BR509" s="287"/>
      <c r="BS509" s="287"/>
      <c r="BT509" s="287"/>
      <c r="BU509" s="287"/>
      <c r="BV509" s="287"/>
      <c r="BW509" s="287"/>
      <c r="BX509" s="286"/>
      <c r="BY509" s="289"/>
      <c r="BZ509" s="289"/>
      <c r="CA509" s="289"/>
      <c r="CB509" s="289"/>
      <c r="CC509" s="289"/>
      <c r="CD509" s="289"/>
      <c r="CE509" s="289"/>
      <c r="CF509" s="289"/>
      <c r="CG509" s="287"/>
      <c r="CH509" s="287"/>
      <c r="CI509" s="287"/>
      <c r="CJ509" s="287"/>
      <c r="CK509" s="287"/>
      <c r="CL509" s="287"/>
      <c r="CM509" s="287"/>
      <c r="CN509" s="287"/>
      <c r="CO509" s="287"/>
      <c r="CP509" s="287"/>
      <c r="CQ509" s="287"/>
      <c r="CR509" s="287"/>
      <c r="CS509" s="6"/>
      <c r="CT509" s="6"/>
      <c r="CU509" s="6"/>
      <c r="CV509" s="6"/>
      <c r="CW509" s="6"/>
      <c r="CX509" s="6"/>
      <c r="CY509" s="6"/>
      <c r="CZ509" s="6"/>
      <c r="DA509" s="343">
        <f t="shared" si="16"/>
        <v>0</v>
      </c>
    </row>
    <row r="510" spans="1:105" ht="20" customHeight="1" x14ac:dyDescent="0.35">
      <c r="A510" s="321"/>
      <c r="B510" s="270" t="s">
        <v>1056</v>
      </c>
      <c r="C510" s="270" t="s">
        <v>1573</v>
      </c>
      <c r="D510" s="297" t="s">
        <v>353</v>
      </c>
      <c r="E510" s="270" t="s">
        <v>389</v>
      </c>
      <c r="F510" s="270" t="s">
        <v>1852</v>
      </c>
      <c r="G510" s="270" t="s">
        <v>156</v>
      </c>
      <c r="H510" s="298">
        <v>25</v>
      </c>
      <c r="I510" s="292">
        <v>32</v>
      </c>
      <c r="J510" s="330"/>
      <c r="K510" s="286"/>
      <c r="L510" s="286"/>
      <c r="M510" s="286"/>
      <c r="N510" s="286"/>
      <c r="O510" s="286"/>
      <c r="P510" s="286"/>
      <c r="Q510" s="286"/>
      <c r="R510" s="286"/>
      <c r="S510" s="286"/>
      <c r="T510" s="330"/>
      <c r="U510" s="286"/>
      <c r="V510" s="294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7">
        <v>32</v>
      </c>
      <c r="AL510" s="288"/>
      <c r="AM510" s="287"/>
      <c r="AN510" s="287"/>
      <c r="AO510" s="287"/>
      <c r="AP510" s="286"/>
      <c r="AQ510" s="29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7"/>
      <c r="BE510" s="287"/>
      <c r="BF510" s="287"/>
      <c r="BG510" s="288">
        <v>32</v>
      </c>
      <c r="BH510" s="287"/>
      <c r="BI510" s="287"/>
      <c r="BJ510" s="287"/>
      <c r="BK510" s="287"/>
      <c r="BL510" s="287"/>
      <c r="BM510" s="287"/>
      <c r="BN510" s="287"/>
      <c r="BO510" s="287"/>
      <c r="BP510" s="287"/>
      <c r="BQ510" s="287"/>
      <c r="BR510" s="287"/>
      <c r="BS510" s="287"/>
      <c r="BT510" s="287"/>
      <c r="BU510" s="287"/>
      <c r="BV510" s="287"/>
      <c r="BW510" s="287"/>
      <c r="BX510" s="286"/>
      <c r="BY510" s="289"/>
      <c r="BZ510" s="289"/>
      <c r="CA510" s="289"/>
      <c r="CB510" s="289"/>
      <c r="CC510" s="289"/>
      <c r="CD510" s="289"/>
      <c r="CE510" s="289"/>
      <c r="CF510" s="289"/>
      <c r="CG510" s="287"/>
      <c r="CH510" s="287"/>
      <c r="CI510" s="287"/>
      <c r="CJ510" s="287"/>
      <c r="CK510" s="287"/>
      <c r="CL510" s="287"/>
      <c r="CM510" s="287"/>
      <c r="CN510" s="287"/>
      <c r="CO510" s="287"/>
      <c r="CP510" s="287"/>
      <c r="CQ510" s="287"/>
      <c r="CR510" s="287"/>
      <c r="CS510" s="288">
        <v>32</v>
      </c>
      <c r="CT510" s="6"/>
      <c r="CU510" s="6"/>
      <c r="CV510" s="6"/>
      <c r="CW510" s="6"/>
      <c r="CX510" s="6"/>
      <c r="CY510" s="6"/>
      <c r="CZ510" s="6"/>
      <c r="DA510" s="343">
        <f t="shared" si="16"/>
        <v>25</v>
      </c>
    </row>
    <row r="511" spans="1:105" ht="20" customHeight="1" x14ac:dyDescent="0.35">
      <c r="A511" s="321"/>
      <c r="B511" s="270" t="s">
        <v>1057</v>
      </c>
      <c r="C511" s="270" t="s">
        <v>1573</v>
      </c>
      <c r="D511" s="297" t="s">
        <v>353</v>
      </c>
      <c r="E511" s="270" t="s">
        <v>325</v>
      </c>
      <c r="F511" s="270" t="s">
        <v>1852</v>
      </c>
      <c r="G511" s="270" t="s">
        <v>156</v>
      </c>
      <c r="H511" s="298">
        <v>29</v>
      </c>
      <c r="I511" s="292">
        <v>32</v>
      </c>
      <c r="J511" s="330"/>
      <c r="K511" s="286"/>
      <c r="L511" s="286"/>
      <c r="M511" s="286"/>
      <c r="N511" s="286"/>
      <c r="O511" s="286"/>
      <c r="P511" s="286"/>
      <c r="Q511" s="286"/>
      <c r="R511" s="286"/>
      <c r="S511" s="286"/>
      <c r="T511" s="330"/>
      <c r="U511" s="286"/>
      <c r="V511" s="294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7">
        <v>32</v>
      </c>
      <c r="AL511" s="288"/>
      <c r="AM511" s="287"/>
      <c r="AN511" s="287"/>
      <c r="AO511" s="287"/>
      <c r="AP511" s="286"/>
      <c r="AQ511" s="296"/>
      <c r="AR511" s="286"/>
      <c r="AS511" s="286"/>
      <c r="AT511" s="286"/>
      <c r="AU511" s="286"/>
      <c r="AV511" s="286"/>
      <c r="AW511" s="286"/>
      <c r="AX511" s="286"/>
      <c r="AY511" s="286"/>
      <c r="AZ511" s="286"/>
      <c r="BA511" s="286"/>
      <c r="BB511" s="286"/>
      <c r="BC511" s="286"/>
      <c r="BD511" s="287"/>
      <c r="BE511" s="287"/>
      <c r="BF511" s="287"/>
      <c r="BG511" s="287"/>
      <c r="BH511" s="287"/>
      <c r="BI511" s="287"/>
      <c r="BJ511" s="287"/>
      <c r="BK511" s="287"/>
      <c r="BL511" s="287"/>
      <c r="BM511" s="287"/>
      <c r="BN511" s="287"/>
      <c r="BO511" s="287"/>
      <c r="BP511" s="287"/>
      <c r="BQ511" s="287"/>
      <c r="BR511" s="287"/>
      <c r="BS511" s="287"/>
      <c r="BT511" s="287"/>
      <c r="BU511" s="287"/>
      <c r="BV511" s="287"/>
      <c r="BW511" s="287"/>
      <c r="BX511" s="286"/>
      <c r="BY511" s="289"/>
      <c r="BZ511" s="289"/>
      <c r="CA511" s="289"/>
      <c r="CB511" s="289"/>
      <c r="CC511" s="289"/>
      <c r="CD511" s="289"/>
      <c r="CE511" s="289"/>
      <c r="CF511" s="289"/>
      <c r="CG511" s="287"/>
      <c r="CH511" s="287"/>
      <c r="CI511" s="287"/>
      <c r="CJ511" s="287"/>
      <c r="CK511" s="287"/>
      <c r="CL511" s="287"/>
      <c r="CM511" s="287"/>
      <c r="CN511" s="287"/>
      <c r="CO511" s="287"/>
      <c r="CP511" s="287"/>
      <c r="CQ511" s="287"/>
      <c r="CR511" s="287"/>
      <c r="CS511" s="288">
        <v>32</v>
      </c>
      <c r="CT511" s="6"/>
      <c r="CU511" s="6"/>
      <c r="CV511" s="6"/>
      <c r="CW511" s="6"/>
      <c r="CX511" s="6"/>
      <c r="CY511" s="6"/>
      <c r="CZ511" s="6"/>
      <c r="DA511" s="343">
        <f t="shared" si="16"/>
        <v>29</v>
      </c>
    </row>
    <row r="512" spans="1:105" ht="20" customHeight="1" x14ac:dyDescent="0.35">
      <c r="A512" s="321" t="s">
        <v>110</v>
      </c>
      <c r="B512" s="270" t="s">
        <v>1058</v>
      </c>
      <c r="C512" s="270" t="s">
        <v>1573</v>
      </c>
      <c r="D512" s="297" t="s">
        <v>353</v>
      </c>
      <c r="E512" s="270" t="s">
        <v>1526</v>
      </c>
      <c r="F512" s="270" t="s">
        <v>1852</v>
      </c>
      <c r="G512" s="270" t="s">
        <v>156</v>
      </c>
      <c r="H512" s="298">
        <v>26</v>
      </c>
      <c r="I512" s="292">
        <v>32</v>
      </c>
      <c r="J512" s="330"/>
      <c r="K512" s="286"/>
      <c r="L512" s="286"/>
      <c r="M512" s="286"/>
      <c r="N512" s="286"/>
      <c r="O512" s="286"/>
      <c r="P512" s="286"/>
      <c r="Q512" s="286"/>
      <c r="R512" s="286"/>
      <c r="S512" s="286"/>
      <c r="T512" s="330"/>
      <c r="U512" s="286"/>
      <c r="V512" s="294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7">
        <v>32</v>
      </c>
      <c r="AL512" s="288"/>
      <c r="AM512" s="287"/>
      <c r="AN512" s="287"/>
      <c r="AO512" s="287"/>
      <c r="AP512" s="286"/>
      <c r="AQ512" s="296"/>
      <c r="AR512" s="286"/>
      <c r="AS512" s="286"/>
      <c r="AT512" s="286"/>
      <c r="AU512" s="286"/>
      <c r="AV512" s="286"/>
      <c r="AW512" s="286"/>
      <c r="AX512" s="286"/>
      <c r="AY512" s="286"/>
      <c r="AZ512" s="286"/>
      <c r="BA512" s="286"/>
      <c r="BB512" s="286"/>
      <c r="BC512" s="286"/>
      <c r="BD512" s="287"/>
      <c r="BE512" s="287"/>
      <c r="BF512" s="287"/>
      <c r="BG512" s="288">
        <v>32</v>
      </c>
      <c r="BH512" s="287"/>
      <c r="BI512" s="287"/>
      <c r="BJ512" s="287"/>
      <c r="BK512" s="287"/>
      <c r="BL512" s="287"/>
      <c r="BM512" s="287"/>
      <c r="BN512" s="287"/>
      <c r="BO512" s="287"/>
      <c r="BP512" s="287"/>
      <c r="BQ512" s="287"/>
      <c r="BR512" s="287"/>
      <c r="BS512" s="287"/>
      <c r="BT512" s="287"/>
      <c r="BU512" s="287"/>
      <c r="BV512" s="287"/>
      <c r="BW512" s="287"/>
      <c r="BX512" s="286"/>
      <c r="BY512" s="289"/>
      <c r="BZ512" s="289"/>
      <c r="CA512" s="289"/>
      <c r="CB512" s="289"/>
      <c r="CC512" s="289"/>
      <c r="CD512" s="289"/>
      <c r="CE512" s="289"/>
      <c r="CF512" s="289"/>
      <c r="CG512" s="287"/>
      <c r="CH512" s="287"/>
      <c r="CI512" s="287"/>
      <c r="CJ512" s="287"/>
      <c r="CK512" s="287"/>
      <c r="CL512" s="287"/>
      <c r="CM512" s="287"/>
      <c r="CN512" s="287"/>
      <c r="CO512" s="287"/>
      <c r="CP512" s="287"/>
      <c r="CQ512" s="287"/>
      <c r="CR512" s="287"/>
      <c r="CS512" s="288">
        <v>32</v>
      </c>
      <c r="CT512" s="6"/>
      <c r="CU512" s="6"/>
      <c r="CV512" s="6"/>
      <c r="CW512" s="6"/>
      <c r="CX512" s="6"/>
      <c r="CY512" s="6"/>
      <c r="CZ512" s="6"/>
      <c r="DA512" s="343">
        <f t="shared" si="16"/>
        <v>26</v>
      </c>
    </row>
    <row r="513" spans="1:105" ht="20" customHeight="1" x14ac:dyDescent="0.35">
      <c r="A513" s="337"/>
      <c r="B513" s="270" t="s">
        <v>1059</v>
      </c>
      <c r="C513" s="270" t="s">
        <v>1573</v>
      </c>
      <c r="D513" s="270"/>
      <c r="E513" s="270" t="s">
        <v>392</v>
      </c>
      <c r="F513" s="270" t="s">
        <v>1854</v>
      </c>
      <c r="G513" s="270" t="s">
        <v>156</v>
      </c>
      <c r="H513" s="298"/>
      <c r="I513" s="280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94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7"/>
      <c r="AL513" s="288"/>
      <c r="AM513" s="287"/>
      <c r="AN513" s="287"/>
      <c r="AO513" s="287"/>
      <c r="AP513" s="286"/>
      <c r="AQ513" s="296"/>
      <c r="AR513" s="286"/>
      <c r="AS513" s="286"/>
      <c r="AT513" s="286"/>
      <c r="AU513" s="286"/>
      <c r="AV513" s="286"/>
      <c r="AW513" s="286"/>
      <c r="AX513" s="286"/>
      <c r="AY513" s="286"/>
      <c r="AZ513" s="286"/>
      <c r="BA513" s="286"/>
      <c r="BB513" s="286"/>
      <c r="BC513" s="286"/>
      <c r="BD513" s="287"/>
      <c r="BE513" s="287"/>
      <c r="BF513" s="287"/>
      <c r="BG513" s="287"/>
      <c r="BH513" s="287"/>
      <c r="BI513" s="287"/>
      <c r="BJ513" s="287"/>
      <c r="BK513" s="287"/>
      <c r="BL513" s="287"/>
      <c r="BM513" s="287"/>
      <c r="BN513" s="287"/>
      <c r="BO513" s="287"/>
      <c r="BP513" s="287"/>
      <c r="BQ513" s="287"/>
      <c r="BR513" s="287"/>
      <c r="BS513" s="287"/>
      <c r="BT513" s="287"/>
      <c r="BU513" s="287"/>
      <c r="BV513" s="287"/>
      <c r="BW513" s="287"/>
      <c r="BX513" s="286"/>
      <c r="BY513" s="289"/>
      <c r="BZ513" s="289"/>
      <c r="CA513" s="289"/>
      <c r="CB513" s="289"/>
      <c r="CC513" s="289"/>
      <c r="CD513" s="289"/>
      <c r="CE513" s="289"/>
      <c r="CF513" s="289"/>
      <c r="CG513" s="287"/>
      <c r="CH513" s="287"/>
      <c r="CI513" s="287"/>
      <c r="CJ513" s="287"/>
      <c r="CK513" s="287"/>
      <c r="CL513" s="287"/>
      <c r="CM513" s="287"/>
      <c r="CN513" s="287"/>
      <c r="CO513" s="287"/>
      <c r="CP513" s="287"/>
      <c r="CQ513" s="287"/>
      <c r="CR513" s="287"/>
      <c r="CS513" s="6"/>
      <c r="CT513" s="6"/>
      <c r="CU513" s="6"/>
      <c r="CV513" s="6"/>
      <c r="CW513" s="6"/>
      <c r="CX513" s="6"/>
      <c r="CY513" s="6"/>
      <c r="CZ513" s="6"/>
      <c r="DA513" s="343">
        <f t="shared" si="16"/>
        <v>0</v>
      </c>
    </row>
    <row r="514" spans="1:105" ht="20" customHeight="1" x14ac:dyDescent="0.35">
      <c r="A514" s="337"/>
      <c r="B514" s="270" t="s">
        <v>1060</v>
      </c>
      <c r="C514" s="270" t="s">
        <v>402</v>
      </c>
      <c r="D514" s="270"/>
      <c r="E514" s="270" t="s">
        <v>1674</v>
      </c>
      <c r="F514" s="270" t="s">
        <v>1851</v>
      </c>
      <c r="G514" s="270" t="s">
        <v>36</v>
      </c>
      <c r="H514" s="298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7"/>
      <c r="AL514" s="288"/>
      <c r="AM514" s="287"/>
      <c r="AN514" s="287"/>
      <c r="AO514" s="287"/>
      <c r="AP514" s="286"/>
      <c r="AQ514" s="296"/>
      <c r="AR514" s="286"/>
      <c r="AS514" s="286"/>
      <c r="AT514" s="286"/>
      <c r="AU514" s="286"/>
      <c r="AV514" s="286"/>
      <c r="AW514" s="286"/>
      <c r="AX514" s="286"/>
      <c r="AY514" s="286"/>
      <c r="AZ514" s="286"/>
      <c r="BA514" s="286"/>
      <c r="BB514" s="286"/>
      <c r="BC514" s="286"/>
      <c r="BD514" s="287"/>
      <c r="BE514" s="287"/>
      <c r="BF514" s="287"/>
      <c r="BG514" s="287"/>
      <c r="BH514" s="287"/>
      <c r="BI514" s="287"/>
      <c r="BJ514" s="287"/>
      <c r="BK514" s="287"/>
      <c r="BL514" s="287"/>
      <c r="BM514" s="287"/>
      <c r="BN514" s="287"/>
      <c r="BO514" s="287"/>
      <c r="BP514" s="287"/>
      <c r="BQ514" s="287"/>
      <c r="BR514" s="287"/>
      <c r="BS514" s="287"/>
      <c r="BT514" s="287"/>
      <c r="BU514" s="287"/>
      <c r="BV514" s="287"/>
      <c r="BW514" s="287"/>
      <c r="BX514" s="286"/>
      <c r="BY514" s="289"/>
      <c r="BZ514" s="289"/>
      <c r="CA514" s="289"/>
      <c r="CB514" s="289"/>
      <c r="CC514" s="289"/>
      <c r="CD514" s="289"/>
      <c r="CE514" s="289"/>
      <c r="CF514" s="289"/>
      <c r="CG514" s="287"/>
      <c r="CH514" s="287"/>
      <c r="CI514" s="287"/>
      <c r="CJ514" s="287"/>
      <c r="CK514" s="287"/>
      <c r="CL514" s="287"/>
      <c r="CM514" s="287"/>
      <c r="CN514" s="287"/>
      <c r="CO514" s="287"/>
      <c r="CP514" s="287"/>
      <c r="CQ514" s="287"/>
      <c r="CR514" s="287"/>
      <c r="CS514" s="6"/>
      <c r="CT514" s="6"/>
      <c r="CU514" s="6"/>
      <c r="CV514" s="6"/>
      <c r="CW514" s="6"/>
      <c r="CX514" s="6"/>
      <c r="CY514" s="6"/>
      <c r="CZ514" s="6"/>
      <c r="DA514" s="343">
        <f t="shared" si="16"/>
        <v>0</v>
      </c>
    </row>
    <row r="515" spans="1:105" ht="20" customHeight="1" x14ac:dyDescent="0.35">
      <c r="A515" s="337"/>
      <c r="B515" s="270" t="s">
        <v>1061</v>
      </c>
      <c r="C515" s="270" t="s">
        <v>402</v>
      </c>
      <c r="D515" s="270"/>
      <c r="E515" s="270" t="s">
        <v>1674</v>
      </c>
      <c r="F515" s="270" t="s">
        <v>553</v>
      </c>
      <c r="G515" s="270" t="s">
        <v>36</v>
      </c>
      <c r="H515" s="298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7"/>
      <c r="AL515" s="288"/>
      <c r="AM515" s="287"/>
      <c r="AN515" s="287"/>
      <c r="AO515" s="287"/>
      <c r="AP515" s="286"/>
      <c r="AQ515" s="296"/>
      <c r="AR515" s="286"/>
      <c r="AS515" s="286"/>
      <c r="AT515" s="286"/>
      <c r="AU515" s="286"/>
      <c r="AV515" s="286"/>
      <c r="AW515" s="286"/>
      <c r="AX515" s="286"/>
      <c r="AY515" s="286"/>
      <c r="AZ515" s="286"/>
      <c r="BA515" s="286"/>
      <c r="BB515" s="286"/>
      <c r="BC515" s="286"/>
      <c r="BD515" s="287"/>
      <c r="BE515" s="287"/>
      <c r="BF515" s="287"/>
      <c r="BG515" s="287"/>
      <c r="BH515" s="287"/>
      <c r="BI515" s="287"/>
      <c r="BJ515" s="287"/>
      <c r="BK515" s="287"/>
      <c r="BL515" s="287"/>
      <c r="BM515" s="287"/>
      <c r="BN515" s="287"/>
      <c r="BO515" s="287"/>
      <c r="BP515" s="287"/>
      <c r="BQ515" s="287"/>
      <c r="BR515" s="287"/>
      <c r="BS515" s="287"/>
      <c r="BT515" s="287"/>
      <c r="BU515" s="287"/>
      <c r="BV515" s="287"/>
      <c r="BW515" s="287"/>
      <c r="BX515" s="286"/>
      <c r="BY515" s="289"/>
      <c r="BZ515" s="289"/>
      <c r="CA515" s="289"/>
      <c r="CB515" s="289"/>
      <c r="CC515" s="289"/>
      <c r="CD515" s="289"/>
      <c r="CE515" s="289"/>
      <c r="CF515" s="289"/>
      <c r="CG515" s="287"/>
      <c r="CH515" s="287"/>
      <c r="CI515" s="287"/>
      <c r="CJ515" s="287"/>
      <c r="CK515" s="287"/>
      <c r="CL515" s="287"/>
      <c r="CM515" s="287"/>
      <c r="CN515" s="287"/>
      <c r="CO515" s="287"/>
      <c r="CP515" s="287"/>
      <c r="CQ515" s="287"/>
      <c r="CR515" s="287"/>
      <c r="CS515" s="6"/>
      <c r="CT515" s="6"/>
      <c r="CU515" s="6"/>
      <c r="CV515" s="6"/>
      <c r="CW515" s="6"/>
      <c r="CX515" s="6"/>
      <c r="CY515" s="6"/>
      <c r="CZ515" s="6"/>
      <c r="DA515" s="343">
        <f t="shared" si="16"/>
        <v>0</v>
      </c>
    </row>
    <row r="516" spans="1:105" ht="20" customHeight="1" x14ac:dyDescent="0.35">
      <c r="A516" s="337"/>
      <c r="B516" s="270" t="s">
        <v>1062</v>
      </c>
      <c r="C516" s="270" t="s">
        <v>1573</v>
      </c>
      <c r="D516" s="270"/>
      <c r="E516" s="270" t="s">
        <v>1296</v>
      </c>
      <c r="F516" s="270" t="s">
        <v>1063</v>
      </c>
      <c r="G516" s="270" t="s">
        <v>790</v>
      </c>
      <c r="H516" s="298">
        <v>12</v>
      </c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7"/>
      <c r="AL516" s="288"/>
      <c r="AM516" s="287"/>
      <c r="AN516" s="287"/>
      <c r="AO516" s="287"/>
      <c r="AP516" s="286"/>
      <c r="AQ516" s="296"/>
      <c r="AR516" s="286"/>
      <c r="AS516" s="286"/>
      <c r="AT516" s="286"/>
      <c r="AU516" s="286"/>
      <c r="AV516" s="286"/>
      <c r="AW516" s="286"/>
      <c r="AX516" s="286"/>
      <c r="AY516" s="286"/>
      <c r="AZ516" s="286"/>
      <c r="BA516" s="286"/>
      <c r="BB516" s="286"/>
      <c r="BC516" s="286"/>
      <c r="BD516" s="287"/>
      <c r="BE516" s="287"/>
      <c r="BF516" s="287"/>
      <c r="BG516" s="288">
        <v>18</v>
      </c>
      <c r="BH516" s="287"/>
      <c r="BI516" s="287"/>
      <c r="BJ516" s="287"/>
      <c r="BK516" s="287"/>
      <c r="BL516" s="287"/>
      <c r="BM516" s="287"/>
      <c r="BN516" s="287"/>
      <c r="BO516" s="287"/>
      <c r="BP516" s="287"/>
      <c r="BQ516" s="287"/>
      <c r="BR516" s="287"/>
      <c r="BS516" s="287"/>
      <c r="BT516" s="287"/>
      <c r="BU516" s="287"/>
      <c r="BV516" s="287"/>
      <c r="BW516" s="287"/>
      <c r="BX516" s="286"/>
      <c r="BY516" s="289"/>
      <c r="BZ516" s="289"/>
      <c r="CA516" s="289"/>
      <c r="CB516" s="289"/>
      <c r="CC516" s="289"/>
      <c r="CD516" s="289"/>
      <c r="CE516" s="289"/>
      <c r="CF516" s="289"/>
      <c r="CG516" s="287"/>
      <c r="CH516" s="287"/>
      <c r="CI516" s="287"/>
      <c r="CJ516" s="287"/>
      <c r="CK516" s="287"/>
      <c r="CL516" s="287"/>
      <c r="CM516" s="287"/>
      <c r="CN516" s="287"/>
      <c r="CO516" s="287"/>
      <c r="CP516" s="287"/>
      <c r="CQ516" s="287"/>
      <c r="CR516" s="287"/>
      <c r="CS516" s="6"/>
      <c r="CT516" s="6"/>
      <c r="CU516" s="6"/>
      <c r="CV516" s="6"/>
      <c r="CW516" s="6"/>
      <c r="CX516" s="6"/>
      <c r="CY516" s="6"/>
      <c r="CZ516" s="6"/>
      <c r="DA516" s="343">
        <f t="shared" si="16"/>
        <v>12</v>
      </c>
    </row>
    <row r="517" spans="1:105" ht="20" customHeight="1" x14ac:dyDescent="0.35">
      <c r="A517" s="321"/>
      <c r="B517" s="270" t="s">
        <v>1064</v>
      </c>
      <c r="C517" s="270" t="s">
        <v>1573</v>
      </c>
      <c r="D517" s="270"/>
      <c r="E517" s="270" t="s">
        <v>1065</v>
      </c>
      <c r="F517" s="270" t="s">
        <v>1063</v>
      </c>
      <c r="G517" s="270" t="s">
        <v>790</v>
      </c>
      <c r="H517" s="298">
        <v>14.95</v>
      </c>
      <c r="I517" s="292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93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7"/>
      <c r="AL517" s="288"/>
      <c r="AM517" s="287"/>
      <c r="AN517" s="287"/>
      <c r="AO517" s="287"/>
      <c r="AP517" s="286"/>
      <c r="AQ517" s="296"/>
      <c r="AR517" s="286"/>
      <c r="AS517" s="286"/>
      <c r="AT517" s="286"/>
      <c r="AU517" s="286"/>
      <c r="AV517" s="286"/>
      <c r="AW517" s="286"/>
      <c r="AX517" s="286"/>
      <c r="AY517" s="286"/>
      <c r="AZ517" s="286"/>
      <c r="BA517" s="286"/>
      <c r="BB517" s="286"/>
      <c r="BC517" s="286"/>
      <c r="BD517" s="287"/>
      <c r="BE517" s="287"/>
      <c r="BF517" s="287"/>
      <c r="BG517" s="287"/>
      <c r="BH517" s="287"/>
      <c r="BI517" s="287"/>
      <c r="BJ517" s="287"/>
      <c r="BK517" s="287"/>
      <c r="BL517" s="287"/>
      <c r="BM517" s="287"/>
      <c r="BN517" s="287"/>
      <c r="BO517" s="287"/>
      <c r="BP517" s="287"/>
      <c r="BQ517" s="287"/>
      <c r="BR517" s="287"/>
      <c r="BS517" s="287"/>
      <c r="BT517" s="287"/>
      <c r="BU517" s="287"/>
      <c r="BV517" s="287"/>
      <c r="BW517" s="287"/>
      <c r="BX517" s="286"/>
      <c r="BY517" s="289"/>
      <c r="BZ517" s="289"/>
      <c r="CA517" s="289"/>
      <c r="CB517" s="289"/>
      <c r="CC517" s="289"/>
      <c r="CD517" s="289"/>
      <c r="CE517" s="289"/>
      <c r="CF517" s="289"/>
      <c r="CG517" s="287"/>
      <c r="CH517" s="287"/>
      <c r="CI517" s="287"/>
      <c r="CJ517" s="287"/>
      <c r="CK517" s="287"/>
      <c r="CL517" s="287"/>
      <c r="CM517" s="287"/>
      <c r="CN517" s="287"/>
      <c r="CO517" s="287"/>
      <c r="CP517" s="287"/>
      <c r="CQ517" s="287"/>
      <c r="CR517" s="287"/>
      <c r="CS517" s="6"/>
      <c r="CT517" s="6"/>
      <c r="CU517" s="6"/>
      <c r="CV517" s="6"/>
      <c r="CW517" s="6"/>
      <c r="CX517" s="6"/>
      <c r="CY517" s="6"/>
      <c r="CZ517" s="6"/>
      <c r="DA517" s="343">
        <f t="shared" si="16"/>
        <v>14.95</v>
      </c>
    </row>
    <row r="518" spans="1:105" ht="20" customHeight="1" x14ac:dyDescent="0.35">
      <c r="A518" s="337"/>
      <c r="B518" s="270" t="s">
        <v>1066</v>
      </c>
      <c r="C518" s="270" t="s">
        <v>1573</v>
      </c>
      <c r="D518" s="270"/>
      <c r="E518" s="270" t="s">
        <v>391</v>
      </c>
      <c r="F518" s="270" t="s">
        <v>1067</v>
      </c>
      <c r="G518" s="270" t="s">
        <v>790</v>
      </c>
      <c r="H518" s="298">
        <v>0</v>
      </c>
      <c r="I518" s="286">
        <v>32</v>
      </c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94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7"/>
      <c r="AL518" s="288"/>
      <c r="AM518" s="287"/>
      <c r="AN518" s="287"/>
      <c r="AO518" s="287"/>
      <c r="AP518" s="286"/>
      <c r="AQ518" s="296"/>
      <c r="AR518" s="286"/>
      <c r="AS518" s="286"/>
      <c r="AT518" s="286"/>
      <c r="AU518" s="286"/>
      <c r="AV518" s="286"/>
      <c r="AW518" s="286"/>
      <c r="AX518" s="286"/>
      <c r="AY518" s="286"/>
      <c r="AZ518" s="286"/>
      <c r="BA518" s="286"/>
      <c r="BB518" s="286"/>
      <c r="BC518" s="286"/>
      <c r="BD518" s="287"/>
      <c r="BE518" s="287"/>
      <c r="BF518" s="287"/>
      <c r="BG518" s="287"/>
      <c r="BH518" s="287"/>
      <c r="BI518" s="287"/>
      <c r="BJ518" s="287"/>
      <c r="BK518" s="287"/>
      <c r="BL518" s="287"/>
      <c r="BM518" s="287"/>
      <c r="BN518" s="287"/>
      <c r="BO518" s="287"/>
      <c r="BP518" s="287"/>
      <c r="BQ518" s="287"/>
      <c r="BR518" s="287"/>
      <c r="BS518" s="287"/>
      <c r="BT518" s="287"/>
      <c r="BU518" s="287"/>
      <c r="BV518" s="287"/>
      <c r="BW518" s="287"/>
      <c r="BX518" s="286"/>
      <c r="BY518" s="289"/>
      <c r="BZ518" s="289"/>
      <c r="CA518" s="289"/>
      <c r="CB518" s="289"/>
      <c r="CC518" s="289"/>
      <c r="CD518" s="289"/>
      <c r="CE518" s="289"/>
      <c r="CF518" s="289"/>
      <c r="CG518" s="287"/>
      <c r="CH518" s="287"/>
      <c r="CI518" s="287"/>
      <c r="CJ518" s="287"/>
      <c r="CK518" s="287"/>
      <c r="CL518" s="287"/>
      <c r="CM518" s="287"/>
      <c r="CN518" s="287"/>
      <c r="CO518" s="287"/>
      <c r="CP518" s="287"/>
      <c r="CQ518" s="287"/>
      <c r="CR518" s="287"/>
      <c r="CS518" s="6"/>
      <c r="CT518" s="6"/>
      <c r="CU518" s="6"/>
      <c r="CV518" s="6"/>
      <c r="CW518" s="6"/>
      <c r="CX518" s="6"/>
      <c r="CY518" s="6"/>
      <c r="CZ518" s="6"/>
      <c r="DA518" s="343">
        <f t="shared" si="16"/>
        <v>0</v>
      </c>
    </row>
    <row r="519" spans="1:105" ht="20" customHeight="1" x14ac:dyDescent="0.35">
      <c r="A519" s="338"/>
      <c r="B519" s="270" t="s">
        <v>1351</v>
      </c>
      <c r="C519" s="270" t="s">
        <v>1352</v>
      </c>
      <c r="D519" s="270" t="s">
        <v>535</v>
      </c>
      <c r="E519" s="270" t="s">
        <v>1353</v>
      </c>
      <c r="F519" s="270" t="s">
        <v>1354</v>
      </c>
      <c r="G519" s="270" t="s">
        <v>36</v>
      </c>
      <c r="H519" s="339">
        <v>26.4</v>
      </c>
      <c r="I519" s="280">
        <v>32</v>
      </c>
      <c r="J519" s="280"/>
      <c r="K519" s="280"/>
      <c r="L519" s="280"/>
      <c r="M519" s="280"/>
      <c r="N519" s="280"/>
      <c r="O519" s="280"/>
      <c r="P519" s="280"/>
      <c r="Q519" s="280"/>
      <c r="R519" s="280"/>
      <c r="S519" s="280"/>
      <c r="T519" s="280"/>
      <c r="U519" s="280"/>
      <c r="V519" s="282"/>
      <c r="W519" s="280"/>
      <c r="X519" s="280"/>
      <c r="Y519" s="280"/>
      <c r="Z519" s="280"/>
      <c r="AA519" s="280"/>
      <c r="AB519" s="280"/>
      <c r="AC519" s="280"/>
      <c r="AD519" s="280"/>
      <c r="AE519" s="280">
        <v>31.4</v>
      </c>
      <c r="AF519" s="280"/>
      <c r="AG519" s="280"/>
      <c r="AH519" s="280"/>
      <c r="AI519" s="280"/>
      <c r="AJ519" s="280"/>
      <c r="AK519" s="283"/>
      <c r="AL519" s="284"/>
      <c r="AM519" s="283"/>
      <c r="AN519" s="283"/>
      <c r="AO519" s="283"/>
      <c r="AP519" s="280"/>
      <c r="AQ519" s="285"/>
      <c r="AR519" s="280"/>
      <c r="AS519" s="280"/>
      <c r="AT519" s="280"/>
      <c r="AU519" s="280"/>
      <c r="AV519" s="280"/>
      <c r="AW519" s="280"/>
      <c r="AX519" s="280"/>
      <c r="AY519" s="280"/>
      <c r="AZ519" s="280"/>
      <c r="BA519" s="280"/>
      <c r="BB519" s="280"/>
      <c r="BC519" s="280"/>
      <c r="BD519" s="283"/>
      <c r="BE519" s="283"/>
      <c r="BF519" s="283"/>
      <c r="BG519" s="284">
        <v>28</v>
      </c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0"/>
      <c r="BY519" s="340"/>
      <c r="BZ519" s="340"/>
      <c r="CA519" s="340"/>
      <c r="CB519" s="340"/>
      <c r="CC519" s="340"/>
      <c r="CD519" s="340"/>
      <c r="CE519" s="340"/>
      <c r="CF519" s="340"/>
      <c r="CG519" s="283"/>
      <c r="CH519" s="283"/>
      <c r="CI519" s="283"/>
      <c r="CJ519" s="283"/>
      <c r="CK519" s="283"/>
      <c r="CL519" s="283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343">
        <f t="shared" si="16"/>
        <v>26.4</v>
      </c>
    </row>
    <row r="520" spans="1:105" ht="20" customHeight="1" x14ac:dyDescent="0.35">
      <c r="A520" s="338"/>
      <c r="B520" s="272" t="s">
        <v>1543</v>
      </c>
      <c r="C520" s="272" t="s">
        <v>1544</v>
      </c>
      <c r="D520" s="272" t="s">
        <v>535</v>
      </c>
      <c r="E520" s="272" t="s">
        <v>1545</v>
      </c>
      <c r="F520" s="272" t="s">
        <v>333</v>
      </c>
      <c r="G520" s="272" t="s">
        <v>40</v>
      </c>
      <c r="H520" s="339">
        <v>35</v>
      </c>
      <c r="I520" s="280">
        <v>40</v>
      </c>
      <c r="J520" s="280"/>
      <c r="K520" s="280"/>
      <c r="L520" s="280"/>
      <c r="M520" s="280"/>
      <c r="N520" s="280"/>
      <c r="O520" s="280"/>
      <c r="P520" s="280"/>
      <c r="Q520" s="280"/>
      <c r="R520" s="280"/>
      <c r="S520" s="280"/>
      <c r="T520" s="280"/>
      <c r="U520" s="280"/>
      <c r="V520" s="282"/>
      <c r="W520" s="280"/>
      <c r="X520" s="280"/>
      <c r="Y520" s="280"/>
      <c r="Z520" s="280"/>
      <c r="AA520" s="280"/>
      <c r="AB520" s="280"/>
      <c r="AC520" s="280"/>
      <c r="AD520" s="280"/>
      <c r="AE520" s="280"/>
      <c r="AF520" s="280"/>
      <c r="AG520" s="280"/>
      <c r="AH520" s="280"/>
      <c r="AI520" s="280"/>
      <c r="AJ520" s="280"/>
      <c r="AK520" s="283"/>
      <c r="AL520" s="284"/>
      <c r="AM520" s="283"/>
      <c r="AN520" s="283"/>
      <c r="AO520" s="283"/>
      <c r="AP520" s="280"/>
      <c r="AQ520" s="285"/>
      <c r="AR520" s="280"/>
      <c r="AS520" s="280"/>
      <c r="AT520" s="280"/>
      <c r="AU520" s="280"/>
      <c r="AV520" s="280"/>
      <c r="AW520" s="280"/>
      <c r="AX520" s="280"/>
      <c r="AY520" s="280"/>
      <c r="AZ520" s="280"/>
      <c r="BA520" s="280"/>
      <c r="BB520" s="280"/>
      <c r="BC520" s="280"/>
      <c r="BD520" s="283"/>
      <c r="BE520" s="283"/>
      <c r="BF520" s="283"/>
      <c r="BG520" s="284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0"/>
      <c r="BY520" s="340"/>
      <c r="BZ520" s="340"/>
      <c r="CA520" s="340"/>
      <c r="CB520" s="340"/>
      <c r="CC520" s="340"/>
      <c r="CD520" s="340"/>
      <c r="CE520" s="340"/>
      <c r="CF520" s="340"/>
      <c r="CG520" s="283"/>
      <c r="CH520" s="283"/>
      <c r="CI520" s="283"/>
      <c r="CJ520" s="283"/>
      <c r="CK520" s="283"/>
      <c r="CL520" s="283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343">
        <f t="shared" si="16"/>
        <v>35</v>
      </c>
    </row>
    <row r="521" spans="1:105" ht="20" customHeight="1" x14ac:dyDescent="0.35">
      <c r="A521" s="338"/>
      <c r="B521" s="270" t="s">
        <v>2218</v>
      </c>
      <c r="C521" s="270" t="s">
        <v>1573</v>
      </c>
      <c r="D521" s="272"/>
      <c r="E521" s="270" t="s">
        <v>2219</v>
      </c>
      <c r="F521" s="270" t="s">
        <v>1067</v>
      </c>
      <c r="G521" s="270" t="s">
        <v>790</v>
      </c>
      <c r="H521" s="339">
        <v>35</v>
      </c>
      <c r="I521" s="280">
        <v>45</v>
      </c>
      <c r="J521" s="280"/>
      <c r="K521" s="280"/>
      <c r="L521" s="280"/>
      <c r="M521" s="280"/>
      <c r="N521" s="280"/>
      <c r="O521" s="280"/>
      <c r="P521" s="280"/>
      <c r="Q521" s="280"/>
      <c r="R521" s="280"/>
      <c r="S521" s="280"/>
      <c r="T521" s="280"/>
      <c r="U521" s="280"/>
      <c r="V521" s="282"/>
      <c r="W521" s="280"/>
      <c r="X521" s="280"/>
      <c r="Y521" s="280"/>
      <c r="Z521" s="280"/>
      <c r="AA521" s="280"/>
      <c r="AB521" s="280"/>
      <c r="AC521" s="280"/>
      <c r="AD521" s="280"/>
      <c r="AE521" s="280"/>
      <c r="AF521" s="280"/>
      <c r="AG521" s="280"/>
      <c r="AH521" s="280"/>
      <c r="AI521" s="280"/>
      <c r="AJ521" s="280"/>
      <c r="AK521" s="283"/>
      <c r="AL521" s="284"/>
      <c r="AM521" s="283"/>
      <c r="AN521" s="283"/>
      <c r="AO521" s="283"/>
      <c r="AP521" s="280"/>
      <c r="AQ521" s="285"/>
      <c r="AR521" s="280"/>
      <c r="AS521" s="280"/>
      <c r="AT521" s="280"/>
      <c r="AU521" s="280"/>
      <c r="AV521" s="280"/>
      <c r="AW521" s="280"/>
      <c r="AX521" s="280"/>
      <c r="AY521" s="280"/>
      <c r="AZ521" s="280"/>
      <c r="BA521" s="280"/>
      <c r="BB521" s="280"/>
      <c r="BC521" s="280"/>
      <c r="BD521" s="283"/>
      <c r="BE521" s="283"/>
      <c r="BF521" s="283"/>
      <c r="BG521" s="284"/>
      <c r="BH521" s="283"/>
      <c r="BI521" s="283"/>
      <c r="BJ521" s="283"/>
      <c r="BK521" s="283"/>
      <c r="BL521" s="283"/>
      <c r="BM521" s="283"/>
      <c r="BN521" s="283"/>
      <c r="BO521" s="283"/>
      <c r="BP521" s="283"/>
      <c r="BQ521" s="283"/>
      <c r="BR521" s="283"/>
      <c r="BS521" s="283"/>
      <c r="BT521" s="283"/>
      <c r="BU521" s="283"/>
      <c r="BV521" s="283"/>
      <c r="BW521" s="283"/>
      <c r="BX521" s="280"/>
      <c r="BY521" s="340"/>
      <c r="BZ521" s="340"/>
      <c r="CA521" s="340"/>
      <c r="CB521" s="340"/>
      <c r="CC521" s="340"/>
      <c r="CD521" s="340"/>
      <c r="CE521" s="340"/>
      <c r="CF521" s="340"/>
      <c r="CG521" s="283"/>
      <c r="CH521" s="283"/>
      <c r="CI521" s="283"/>
      <c r="CJ521" s="283"/>
      <c r="CK521" s="283"/>
      <c r="CL521" s="283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343">
        <f t="shared" si="16"/>
        <v>35</v>
      </c>
    </row>
    <row r="522" spans="1:105" ht="20" customHeight="1" x14ac:dyDescent="0.35">
      <c r="A522" s="338"/>
      <c r="B522" s="272" t="s">
        <v>1068</v>
      </c>
      <c r="C522" s="272" t="s">
        <v>1108</v>
      </c>
      <c r="D522" s="272" t="s">
        <v>535</v>
      </c>
      <c r="E522" s="272" t="s">
        <v>54</v>
      </c>
      <c r="F522" s="272" t="s">
        <v>635</v>
      </c>
      <c r="G522" s="272" t="s">
        <v>544</v>
      </c>
      <c r="H522" s="339">
        <v>7.7</v>
      </c>
      <c r="I522" s="280"/>
      <c r="J522" s="280"/>
      <c r="K522" s="280"/>
      <c r="L522" s="280"/>
      <c r="M522" s="280"/>
      <c r="N522" s="280"/>
      <c r="O522" s="280"/>
      <c r="P522" s="280"/>
      <c r="Q522" s="280"/>
      <c r="R522" s="280"/>
      <c r="S522" s="280"/>
      <c r="T522" s="280"/>
      <c r="U522" s="280"/>
      <c r="V522" s="282"/>
      <c r="W522" s="280"/>
      <c r="X522" s="280"/>
      <c r="Y522" s="280"/>
      <c r="Z522" s="280"/>
      <c r="AA522" s="280"/>
      <c r="AB522" s="280"/>
      <c r="AC522" s="280"/>
      <c r="AD522" s="280"/>
      <c r="AE522" s="280"/>
      <c r="AF522" s="280"/>
      <c r="AG522" s="341"/>
      <c r="AH522" s="280"/>
      <c r="AI522" s="280"/>
      <c r="AJ522" s="280"/>
      <c r="AK522" s="283"/>
      <c r="AL522" s="284"/>
      <c r="AM522" s="283"/>
      <c r="AN522" s="283"/>
      <c r="AO522" s="283"/>
      <c r="AP522" s="280"/>
      <c r="AQ522" s="285"/>
      <c r="AR522" s="280"/>
      <c r="AS522" s="280"/>
      <c r="AT522" s="280"/>
      <c r="AU522" s="280"/>
      <c r="AV522" s="280"/>
      <c r="AW522" s="280"/>
      <c r="AX522" s="280"/>
      <c r="AY522" s="280"/>
      <c r="AZ522" s="280"/>
      <c r="BA522" s="280"/>
      <c r="BB522" s="280"/>
      <c r="BC522" s="280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0"/>
      <c r="BY522" s="340"/>
      <c r="BZ522" s="340"/>
      <c r="CA522" s="340">
        <v>9.6999999999999993</v>
      </c>
      <c r="CB522" s="340"/>
      <c r="CC522" s="340"/>
      <c r="CD522" s="340"/>
      <c r="CE522" s="340"/>
      <c r="CF522" s="340"/>
      <c r="CG522" s="283"/>
      <c r="CH522" s="283"/>
      <c r="CI522" s="283"/>
      <c r="CJ522" s="283"/>
      <c r="CK522" s="283"/>
      <c r="CL522" s="283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344"/>
    </row>
    <row r="523" spans="1:105" ht="20" customHeight="1" x14ac:dyDescent="0.35">
      <c r="A523" s="337"/>
      <c r="B523" s="270" t="s">
        <v>1113</v>
      </c>
      <c r="C523" s="270" t="s">
        <v>1109</v>
      </c>
      <c r="D523" s="270" t="s">
        <v>535</v>
      </c>
      <c r="E523" s="270" t="s">
        <v>54</v>
      </c>
      <c r="F523" s="270" t="s">
        <v>635</v>
      </c>
      <c r="G523" s="270" t="s">
        <v>544</v>
      </c>
      <c r="H523" s="298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94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93"/>
      <c r="AH523" s="286"/>
      <c r="AI523" s="286"/>
      <c r="AJ523" s="286"/>
      <c r="AK523" s="287"/>
      <c r="AL523" s="288"/>
      <c r="AM523" s="287"/>
      <c r="AN523" s="287"/>
      <c r="AO523" s="287"/>
      <c r="AP523" s="286"/>
      <c r="AQ523" s="296"/>
      <c r="AR523" s="286"/>
      <c r="AS523" s="286"/>
      <c r="AT523" s="286"/>
      <c r="AU523" s="286"/>
      <c r="AV523" s="286"/>
      <c r="AW523" s="286"/>
      <c r="AX523" s="286"/>
      <c r="AY523" s="286"/>
      <c r="AZ523" s="286"/>
      <c r="BA523" s="286"/>
      <c r="BB523" s="286"/>
      <c r="BC523" s="286"/>
      <c r="BD523" s="287"/>
      <c r="BE523" s="287"/>
      <c r="BF523" s="287"/>
      <c r="BG523" s="287"/>
      <c r="BH523" s="287"/>
      <c r="BI523" s="287"/>
      <c r="BJ523" s="287"/>
      <c r="BK523" s="287"/>
      <c r="BL523" s="287"/>
      <c r="BM523" s="287"/>
      <c r="BN523" s="287"/>
      <c r="BO523" s="287"/>
      <c r="BP523" s="287"/>
      <c r="BQ523" s="287"/>
      <c r="BR523" s="287"/>
      <c r="BS523" s="287"/>
      <c r="BT523" s="287"/>
      <c r="BU523" s="287"/>
      <c r="BV523" s="287"/>
      <c r="BW523" s="287"/>
      <c r="BX523" s="286"/>
      <c r="BY523" s="289"/>
      <c r="BZ523" s="289"/>
      <c r="CA523" s="289">
        <v>9.6999999999999993</v>
      </c>
      <c r="CB523" s="289"/>
      <c r="CC523" s="289"/>
      <c r="CD523" s="289"/>
      <c r="CE523" s="289"/>
      <c r="CF523" s="289"/>
      <c r="CG523" s="287"/>
      <c r="CH523" s="287"/>
      <c r="CI523" s="287"/>
      <c r="CJ523" s="287"/>
      <c r="CK523" s="287"/>
      <c r="CL523" s="287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344"/>
    </row>
    <row r="524" spans="1:105" ht="20" customHeight="1" x14ac:dyDescent="0.35">
      <c r="A524" s="337"/>
      <c r="B524" s="270" t="s">
        <v>1114</v>
      </c>
      <c r="C524" s="270" t="s">
        <v>1110</v>
      </c>
      <c r="D524" s="270" t="s">
        <v>535</v>
      </c>
      <c r="E524" s="270" t="s">
        <v>54</v>
      </c>
      <c r="F524" s="270" t="s">
        <v>635</v>
      </c>
      <c r="G524" s="270" t="s">
        <v>544</v>
      </c>
      <c r="H524" s="298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94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93"/>
      <c r="AH524" s="286"/>
      <c r="AI524" s="286"/>
      <c r="AJ524" s="286"/>
      <c r="AK524" s="287"/>
      <c r="AL524" s="288"/>
      <c r="AM524" s="287"/>
      <c r="AN524" s="287"/>
      <c r="AO524" s="287"/>
      <c r="AP524" s="286"/>
      <c r="AQ524" s="296"/>
      <c r="AR524" s="286"/>
      <c r="AS524" s="286"/>
      <c r="AT524" s="286"/>
      <c r="AU524" s="286"/>
      <c r="AV524" s="286"/>
      <c r="AW524" s="286"/>
      <c r="AX524" s="286"/>
      <c r="AY524" s="286"/>
      <c r="AZ524" s="286"/>
      <c r="BA524" s="286"/>
      <c r="BB524" s="286"/>
      <c r="BC524" s="286"/>
      <c r="BD524" s="287"/>
      <c r="BE524" s="287"/>
      <c r="BF524" s="287"/>
      <c r="BG524" s="287"/>
      <c r="BH524" s="287"/>
      <c r="BI524" s="287"/>
      <c r="BJ524" s="287"/>
      <c r="BK524" s="287"/>
      <c r="BL524" s="287"/>
      <c r="BM524" s="287"/>
      <c r="BN524" s="287"/>
      <c r="BO524" s="287"/>
      <c r="BP524" s="287"/>
      <c r="BQ524" s="287"/>
      <c r="BR524" s="287"/>
      <c r="BS524" s="287"/>
      <c r="BT524" s="287"/>
      <c r="BU524" s="287"/>
      <c r="BV524" s="287"/>
      <c r="BW524" s="287"/>
      <c r="BX524" s="286"/>
      <c r="BY524" s="289"/>
      <c r="BZ524" s="289"/>
      <c r="CA524" s="289">
        <v>9.6999999999999993</v>
      </c>
      <c r="CB524" s="289"/>
      <c r="CC524" s="289"/>
      <c r="CD524" s="289"/>
      <c r="CE524" s="289"/>
      <c r="CF524" s="289"/>
      <c r="CG524" s="287"/>
      <c r="CH524" s="287"/>
      <c r="CI524" s="287"/>
      <c r="CJ524" s="287"/>
      <c r="CK524" s="287"/>
      <c r="CL524" s="287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344"/>
    </row>
    <row r="525" spans="1:105" ht="20" customHeight="1" x14ac:dyDescent="0.35">
      <c r="A525" s="337"/>
      <c r="B525" s="270" t="s">
        <v>1115</v>
      </c>
      <c r="C525" s="270" t="s">
        <v>1116</v>
      </c>
      <c r="D525" s="270" t="s">
        <v>535</v>
      </c>
      <c r="E525" s="270" t="s">
        <v>54</v>
      </c>
      <c r="F525" s="270" t="s">
        <v>635</v>
      </c>
      <c r="G525" s="270" t="s">
        <v>544</v>
      </c>
      <c r="H525" s="298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94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93"/>
      <c r="AH525" s="286"/>
      <c r="AI525" s="286"/>
      <c r="AJ525" s="286"/>
      <c r="AK525" s="287"/>
      <c r="AL525" s="288"/>
      <c r="AM525" s="287"/>
      <c r="AN525" s="287"/>
      <c r="AO525" s="287"/>
      <c r="AP525" s="286"/>
      <c r="AQ525" s="296"/>
      <c r="AR525" s="286"/>
      <c r="AS525" s="286"/>
      <c r="AT525" s="286"/>
      <c r="AU525" s="286"/>
      <c r="AV525" s="286"/>
      <c r="AW525" s="286"/>
      <c r="AX525" s="286"/>
      <c r="AY525" s="286"/>
      <c r="AZ525" s="286"/>
      <c r="BA525" s="286"/>
      <c r="BB525" s="286"/>
      <c r="BC525" s="286"/>
      <c r="BD525" s="287"/>
      <c r="BE525" s="287"/>
      <c r="BF525" s="287"/>
      <c r="BG525" s="287"/>
      <c r="BH525" s="287"/>
      <c r="BI525" s="287"/>
      <c r="BJ525" s="287"/>
      <c r="BK525" s="287"/>
      <c r="BL525" s="287"/>
      <c r="BM525" s="287"/>
      <c r="BN525" s="287"/>
      <c r="BO525" s="287"/>
      <c r="BP525" s="287"/>
      <c r="BQ525" s="287"/>
      <c r="BR525" s="287"/>
      <c r="BS525" s="287"/>
      <c r="BT525" s="287"/>
      <c r="BU525" s="287"/>
      <c r="BV525" s="287"/>
      <c r="BW525" s="287"/>
      <c r="BX525" s="286"/>
      <c r="BY525" s="289"/>
      <c r="BZ525" s="289"/>
      <c r="CA525" s="289">
        <v>9.6999999999999993</v>
      </c>
      <c r="CB525" s="289"/>
      <c r="CC525" s="289"/>
      <c r="CD525" s="289"/>
      <c r="CE525" s="289"/>
      <c r="CF525" s="289"/>
      <c r="CG525" s="287"/>
      <c r="CH525" s="287"/>
      <c r="CI525" s="287"/>
      <c r="CJ525" s="287"/>
      <c r="CK525" s="287"/>
      <c r="CL525" s="287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344"/>
    </row>
    <row r="526" spans="1:105" ht="20" customHeight="1" x14ac:dyDescent="0.35">
      <c r="A526" s="337"/>
      <c r="B526" s="270" t="s">
        <v>1118</v>
      </c>
      <c r="C526" s="270" t="s">
        <v>1117</v>
      </c>
      <c r="D526" s="270" t="s">
        <v>535</v>
      </c>
      <c r="E526" s="270" t="s">
        <v>54</v>
      </c>
      <c r="F526" s="270" t="s">
        <v>635</v>
      </c>
      <c r="G526" s="270" t="s">
        <v>544</v>
      </c>
      <c r="H526" s="298">
        <v>8</v>
      </c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94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93"/>
      <c r="AH526" s="286"/>
      <c r="AI526" s="286"/>
      <c r="AJ526" s="286"/>
      <c r="AK526" s="287"/>
      <c r="AL526" s="288"/>
      <c r="AM526" s="287"/>
      <c r="AN526" s="287"/>
      <c r="AO526" s="287"/>
      <c r="AP526" s="286"/>
      <c r="AQ526" s="296"/>
      <c r="AR526" s="286"/>
      <c r="AS526" s="286"/>
      <c r="AT526" s="286"/>
      <c r="AU526" s="286"/>
      <c r="AV526" s="286"/>
      <c r="AW526" s="286"/>
      <c r="AX526" s="286"/>
      <c r="AY526" s="286"/>
      <c r="AZ526" s="286"/>
      <c r="BA526" s="286"/>
      <c r="BB526" s="286"/>
      <c r="BC526" s="286"/>
      <c r="BD526" s="287"/>
      <c r="BE526" s="287"/>
      <c r="BF526" s="287"/>
      <c r="BG526" s="287"/>
      <c r="BH526" s="287"/>
      <c r="BI526" s="287"/>
      <c r="BJ526" s="287"/>
      <c r="BK526" s="287"/>
      <c r="BL526" s="287"/>
      <c r="BM526" s="287"/>
      <c r="BN526" s="287"/>
      <c r="BO526" s="287"/>
      <c r="BP526" s="287"/>
      <c r="BQ526" s="287"/>
      <c r="BR526" s="287"/>
      <c r="BS526" s="287"/>
      <c r="BT526" s="287"/>
      <c r="BU526" s="287"/>
      <c r="BV526" s="287"/>
      <c r="BW526" s="287"/>
      <c r="BX526" s="286"/>
      <c r="BY526" s="289"/>
      <c r="BZ526" s="289"/>
      <c r="CA526" s="289">
        <v>9.6999999999999993</v>
      </c>
      <c r="CB526" s="289"/>
      <c r="CC526" s="289"/>
      <c r="CD526" s="289"/>
      <c r="CE526" s="289"/>
      <c r="CF526" s="289"/>
      <c r="CG526" s="287"/>
      <c r="CH526" s="287"/>
      <c r="CI526" s="287"/>
      <c r="CJ526" s="287"/>
      <c r="CK526" s="287"/>
      <c r="CL526" s="287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344"/>
    </row>
    <row r="527" spans="1:105" ht="20" customHeight="1" x14ac:dyDescent="0.35">
      <c r="A527" s="337"/>
      <c r="B527" s="270" t="s">
        <v>1119</v>
      </c>
      <c r="C527" s="270" t="s">
        <v>1120</v>
      </c>
      <c r="D527" s="270" t="s">
        <v>535</v>
      </c>
      <c r="E527" s="270" t="s">
        <v>54</v>
      </c>
      <c r="F527" s="270" t="s">
        <v>635</v>
      </c>
      <c r="G527" s="270" t="s">
        <v>544</v>
      </c>
      <c r="H527" s="298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94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93"/>
      <c r="AH527" s="286"/>
      <c r="AI527" s="286"/>
      <c r="AJ527" s="286"/>
      <c r="AK527" s="287"/>
      <c r="AL527" s="288"/>
      <c r="AM527" s="287"/>
      <c r="AN527" s="287"/>
      <c r="AO527" s="287"/>
      <c r="AP527" s="286"/>
      <c r="AQ527" s="296"/>
      <c r="AR527" s="286"/>
      <c r="AS527" s="286"/>
      <c r="AT527" s="286"/>
      <c r="AU527" s="286"/>
      <c r="AV527" s="286"/>
      <c r="AW527" s="286"/>
      <c r="AX527" s="286"/>
      <c r="AY527" s="286"/>
      <c r="AZ527" s="286"/>
      <c r="BA527" s="286"/>
      <c r="BB527" s="286"/>
      <c r="BC527" s="286"/>
      <c r="BD527" s="287"/>
      <c r="BE527" s="287"/>
      <c r="BF527" s="287"/>
      <c r="BG527" s="287"/>
      <c r="BH527" s="287"/>
      <c r="BI527" s="287"/>
      <c r="BJ527" s="287"/>
      <c r="BK527" s="287"/>
      <c r="BL527" s="287"/>
      <c r="BM527" s="287"/>
      <c r="BN527" s="287"/>
      <c r="BO527" s="287"/>
      <c r="BP527" s="287"/>
      <c r="BQ527" s="287"/>
      <c r="BR527" s="287"/>
      <c r="BS527" s="287"/>
      <c r="BT527" s="287"/>
      <c r="BU527" s="287"/>
      <c r="BV527" s="287"/>
      <c r="BW527" s="287"/>
      <c r="BX527" s="286"/>
      <c r="BY527" s="289"/>
      <c r="BZ527" s="289"/>
      <c r="CA527" s="289">
        <v>9.6999999999999993</v>
      </c>
      <c r="CB527" s="289"/>
      <c r="CC527" s="289"/>
      <c r="CD527" s="289"/>
      <c r="CE527" s="289"/>
      <c r="CF527" s="289"/>
      <c r="CG527" s="287"/>
      <c r="CH527" s="287"/>
      <c r="CI527" s="287"/>
      <c r="CJ527" s="287"/>
      <c r="CK527" s="287"/>
      <c r="CL527" s="287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344"/>
    </row>
    <row r="528" spans="1:105" ht="20" customHeight="1" x14ac:dyDescent="0.35">
      <c r="A528" s="337"/>
      <c r="B528" s="270" t="s">
        <v>1121</v>
      </c>
      <c r="C528" s="270" t="s">
        <v>1122</v>
      </c>
      <c r="D528" s="270" t="s">
        <v>535</v>
      </c>
      <c r="E528" s="270" t="s">
        <v>54</v>
      </c>
      <c r="F528" s="270" t="s">
        <v>1125</v>
      </c>
      <c r="G528" s="270" t="s">
        <v>225</v>
      </c>
      <c r="H528" s="298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94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93"/>
      <c r="AH528" s="286"/>
      <c r="AI528" s="286"/>
      <c r="AJ528" s="286"/>
      <c r="AK528" s="287"/>
      <c r="AL528" s="288"/>
      <c r="AM528" s="287"/>
      <c r="AN528" s="287"/>
      <c r="AO528" s="287"/>
      <c r="AP528" s="286"/>
      <c r="AQ528" s="296"/>
      <c r="AR528" s="286"/>
      <c r="AS528" s="286"/>
      <c r="AT528" s="286"/>
      <c r="AU528" s="286"/>
      <c r="AV528" s="286"/>
      <c r="AW528" s="286"/>
      <c r="AX528" s="286"/>
      <c r="AY528" s="286"/>
      <c r="AZ528" s="286"/>
      <c r="BA528" s="286"/>
      <c r="BB528" s="286"/>
      <c r="BC528" s="286"/>
      <c r="BD528" s="287"/>
      <c r="BE528" s="287"/>
      <c r="BF528" s="287"/>
      <c r="BG528" s="287"/>
      <c r="BH528" s="287"/>
      <c r="BI528" s="287"/>
      <c r="BJ528" s="287"/>
      <c r="BK528" s="287"/>
      <c r="BL528" s="287"/>
      <c r="BM528" s="287"/>
      <c r="BN528" s="287"/>
      <c r="BO528" s="287"/>
      <c r="BP528" s="287"/>
      <c r="BQ528" s="287"/>
      <c r="BR528" s="287"/>
      <c r="BS528" s="287"/>
      <c r="BT528" s="287"/>
      <c r="BU528" s="287"/>
      <c r="BV528" s="287"/>
      <c r="BW528" s="287"/>
      <c r="BX528" s="286"/>
      <c r="BY528" s="289"/>
      <c r="BZ528" s="289"/>
      <c r="CA528" s="289">
        <v>6</v>
      </c>
      <c r="CB528" s="289"/>
      <c r="CC528" s="289"/>
      <c r="CD528" s="289"/>
      <c r="CE528" s="289"/>
      <c r="CF528" s="289"/>
      <c r="CG528" s="287"/>
      <c r="CH528" s="287"/>
      <c r="CI528" s="287"/>
      <c r="CJ528" s="287"/>
      <c r="CK528" s="287"/>
      <c r="CL528" s="287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344"/>
    </row>
    <row r="529" spans="1:105" ht="20" customHeight="1" x14ac:dyDescent="0.35">
      <c r="A529" s="337"/>
      <c r="B529" s="270" t="s">
        <v>1123</v>
      </c>
      <c r="C529" s="270" t="s">
        <v>1124</v>
      </c>
      <c r="D529" s="270" t="s">
        <v>535</v>
      </c>
      <c r="E529" s="270" t="s">
        <v>54</v>
      </c>
      <c r="F529" s="270" t="s">
        <v>32</v>
      </c>
      <c r="G529" s="270" t="s">
        <v>225</v>
      </c>
      <c r="H529" s="298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94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93"/>
      <c r="AH529" s="286"/>
      <c r="AI529" s="286"/>
      <c r="AJ529" s="286"/>
      <c r="AK529" s="287"/>
      <c r="AL529" s="288"/>
      <c r="AM529" s="287"/>
      <c r="AN529" s="287"/>
      <c r="AO529" s="287"/>
      <c r="AP529" s="286"/>
      <c r="AQ529" s="296"/>
      <c r="AR529" s="286"/>
      <c r="AS529" s="286"/>
      <c r="AT529" s="286"/>
      <c r="AU529" s="286"/>
      <c r="AV529" s="286"/>
      <c r="AW529" s="286"/>
      <c r="AX529" s="286"/>
      <c r="AY529" s="286"/>
      <c r="AZ529" s="286"/>
      <c r="BA529" s="286"/>
      <c r="BB529" s="286"/>
      <c r="BC529" s="286"/>
      <c r="BD529" s="287"/>
      <c r="BE529" s="287"/>
      <c r="BF529" s="287"/>
      <c r="BG529" s="287"/>
      <c r="BH529" s="287"/>
      <c r="BI529" s="287"/>
      <c r="BJ529" s="287"/>
      <c r="BK529" s="287"/>
      <c r="BL529" s="287"/>
      <c r="BM529" s="287"/>
      <c r="BN529" s="287"/>
      <c r="BO529" s="287"/>
      <c r="BP529" s="287"/>
      <c r="BQ529" s="287"/>
      <c r="BR529" s="287"/>
      <c r="BS529" s="287"/>
      <c r="BT529" s="287"/>
      <c r="BU529" s="287"/>
      <c r="BV529" s="287"/>
      <c r="BW529" s="287"/>
      <c r="BX529" s="286"/>
      <c r="BY529" s="289"/>
      <c r="BZ529" s="289"/>
      <c r="CA529" s="289">
        <v>4</v>
      </c>
      <c r="CB529" s="289"/>
      <c r="CC529" s="289"/>
      <c r="CD529" s="289"/>
      <c r="CE529" s="289"/>
      <c r="CF529" s="289"/>
      <c r="CG529" s="287"/>
      <c r="CH529" s="287"/>
      <c r="CI529" s="287"/>
      <c r="CJ529" s="287"/>
      <c r="CK529" s="287"/>
      <c r="CL529" s="287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344"/>
    </row>
    <row r="530" spans="1:105" ht="20" customHeight="1" x14ac:dyDescent="0.35">
      <c r="A530" s="337"/>
      <c r="B530" s="270" t="s">
        <v>1128</v>
      </c>
      <c r="C530" s="270" t="s">
        <v>674</v>
      </c>
      <c r="D530" s="270" t="s">
        <v>535</v>
      </c>
      <c r="E530" s="270" t="s">
        <v>34</v>
      </c>
      <c r="F530" s="270" t="s">
        <v>92</v>
      </c>
      <c r="G530" s="270" t="s">
        <v>38</v>
      </c>
      <c r="H530" s="298"/>
      <c r="I530" s="286"/>
      <c r="J530" s="286"/>
      <c r="K530" s="286"/>
      <c r="L530" s="286">
        <v>6</v>
      </c>
      <c r="M530" s="286"/>
      <c r="N530" s="286"/>
      <c r="O530" s="286"/>
      <c r="P530" s="286"/>
      <c r="Q530" s="286"/>
      <c r="R530" s="286"/>
      <c r="S530" s="286"/>
      <c r="T530" s="286"/>
      <c r="U530" s="286"/>
      <c r="V530" s="294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93"/>
      <c r="AH530" s="286"/>
      <c r="AI530" s="286"/>
      <c r="AJ530" s="286"/>
      <c r="AK530" s="287"/>
      <c r="AL530" s="288"/>
      <c r="AM530" s="287"/>
      <c r="AN530" s="287"/>
      <c r="AO530" s="287"/>
      <c r="AP530" s="286"/>
      <c r="AQ530" s="296"/>
      <c r="AR530" s="286"/>
      <c r="AS530" s="286"/>
      <c r="AT530" s="286"/>
      <c r="AU530" s="286"/>
      <c r="AV530" s="286"/>
      <c r="AW530" s="286"/>
      <c r="AX530" s="286"/>
      <c r="AY530" s="286"/>
      <c r="AZ530" s="286"/>
      <c r="BA530" s="286"/>
      <c r="BB530" s="286"/>
      <c r="BC530" s="286"/>
      <c r="BD530" s="287"/>
      <c r="BE530" s="287"/>
      <c r="BF530" s="287"/>
      <c r="BG530" s="287"/>
      <c r="BH530" s="287"/>
      <c r="BI530" s="287"/>
      <c r="BJ530" s="287"/>
      <c r="BK530" s="287"/>
      <c r="BL530" s="287"/>
      <c r="BM530" s="287"/>
      <c r="BN530" s="287"/>
      <c r="BO530" s="287"/>
      <c r="BP530" s="287"/>
      <c r="BQ530" s="287"/>
      <c r="BR530" s="287"/>
      <c r="BS530" s="287"/>
      <c r="BT530" s="287"/>
      <c r="BU530" s="287"/>
      <c r="BV530" s="287"/>
      <c r="BW530" s="287"/>
      <c r="BX530" s="286"/>
      <c r="BY530" s="289"/>
      <c r="BZ530" s="289"/>
      <c r="CA530" s="289"/>
      <c r="CB530" s="289"/>
      <c r="CC530" s="289"/>
      <c r="CD530" s="289"/>
      <c r="CE530" s="289"/>
      <c r="CF530" s="289"/>
      <c r="CG530" s="287"/>
      <c r="CH530" s="287"/>
      <c r="CI530" s="287"/>
      <c r="CJ530" s="287"/>
      <c r="CK530" s="287"/>
      <c r="CL530" s="287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344"/>
    </row>
  </sheetData>
  <autoFilter ref="A2:DA530" xr:uid="{3704E0B5-B148-4711-9D8A-43230952AEE0}"/>
  <sortState xmlns:xlrd2="http://schemas.microsoft.com/office/spreadsheetml/2017/richdata2" ref="A3:H530">
    <sortCondition ref="A3:A530"/>
  </sortState>
  <phoneticPr fontId="11" type="noConversion"/>
  <pageMargins left="0.51181102362204722" right="0.11811023622047245" top="2.3622047244094491" bottom="1.1811023622047245" header="0.31496062992125984" footer="0.31496062992125984"/>
  <pageSetup paperSize="9" scale="62" fitToHeight="0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P46"/>
  <sheetViews>
    <sheetView topLeftCell="A17" zoomScaleNormal="100" workbookViewId="0">
      <selection activeCell="K27" sqref="K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2.7265625" style="19" customWidth="1"/>
    <col min="12" max="12" width="14.3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</v>
      </c>
      <c r="J10" s="24" t="s">
        <v>27</v>
      </c>
      <c r="K10" s="475">
        <v>202501101</v>
      </c>
      <c r="L10" s="476"/>
    </row>
    <row r="11" spans="2:12" ht="20.149999999999999" customHeight="1" x14ac:dyDescent="0.45">
      <c r="B11" s="477" t="s">
        <v>209</v>
      </c>
      <c r="C11" s="478"/>
      <c r="D11" s="479"/>
      <c r="E11" s="25"/>
      <c r="F11" s="480" t="str">
        <f>VLOOKUP(H10,'Delivery Location'!A$4:N$460,2,0)</f>
        <v>甜甜                                                                         Tiong Bahru Market.                                 30 Seng Poh Road #02-15.     Singapore 168898</v>
      </c>
      <c r="G11" s="481"/>
      <c r="H11" s="482"/>
      <c r="J11" s="26" t="s">
        <v>9</v>
      </c>
      <c r="K11" s="486">
        <v>45661</v>
      </c>
      <c r="L11" s="487"/>
    </row>
    <row r="12" spans="2:12" ht="20.149999999999999" customHeight="1" x14ac:dyDescent="0.45">
      <c r="B12" s="488" t="s">
        <v>359</v>
      </c>
      <c r="C12" s="449"/>
      <c r="D12" s="489"/>
      <c r="E12" s="25"/>
      <c r="F12" s="483"/>
      <c r="G12" s="484"/>
      <c r="H12" s="485"/>
      <c r="J12" s="26" t="s">
        <v>145</v>
      </c>
      <c r="K12" s="506" t="s">
        <v>350</v>
      </c>
      <c r="L12" s="507"/>
    </row>
    <row r="13" spans="2:12" ht="20.149999999999999" customHeight="1" x14ac:dyDescent="0.45">
      <c r="B13" s="488" t="s">
        <v>1474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 t="s">
        <v>1478</v>
      </c>
      <c r="L15" s="469"/>
    </row>
    <row r="16" spans="2:12" ht="19" thickBot="1" x14ac:dyDescent="0.5">
      <c r="J16" s="17"/>
      <c r="L16" s="19" t="s">
        <v>460</v>
      </c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364"/>
      <c r="C18" s="212" t="s">
        <v>960</v>
      </c>
      <c r="D18" s="501" t="str">
        <f>VLOOKUP(C18,'Sales Master'!B$3:D$530,2,)</f>
        <v>Lychee in Syrup 荔枝</v>
      </c>
      <c r="E18" s="501"/>
      <c r="F18" s="501"/>
      <c r="G18" s="76">
        <v>1</v>
      </c>
      <c r="H18" s="85" t="str">
        <f>VLOOKUP(C18,'Sales Master'!$B$3:$F$2413,5,0)</f>
        <v>12can/箱</v>
      </c>
      <c r="I18" s="497" t="str">
        <f>VLOOKUP(C18,'Sales Master'!$B$3:$E$2481,4,0)</f>
        <v>MiLi</v>
      </c>
      <c r="J18" s="497"/>
      <c r="K18" s="80">
        <f>VLOOKUP(C18,'Sales Master'!B$3:AC$530,28,0)</f>
        <v>25</v>
      </c>
      <c r="L18" s="64">
        <f t="shared" ref="L18" si="0">K18*G18</f>
        <v>25</v>
      </c>
      <c r="M18" s="65"/>
    </row>
    <row r="19" spans="2:16" ht="20.149999999999999" customHeight="1" x14ac:dyDescent="0.45">
      <c r="B19" s="364"/>
      <c r="C19" s="212" t="s">
        <v>1028</v>
      </c>
      <c r="D19" s="501" t="str">
        <f>VLOOKUP(C19,'Sales Master'!B$3:D$530,2,)</f>
        <v>Sweet Potato 番薯</v>
      </c>
      <c r="E19" s="501"/>
      <c r="F19" s="501"/>
      <c r="G19" s="76">
        <v>40</v>
      </c>
      <c r="H19" s="85" t="str">
        <f>VLOOKUP(C19,'Sales Master'!$B$3:$F$2413,5,0)</f>
        <v>1 KG</v>
      </c>
      <c r="I19" s="497" t="str">
        <f>VLOOKUP(C19,'Sales Master'!$B$3:$E$2481,4,0)</f>
        <v>-</v>
      </c>
      <c r="J19" s="497"/>
      <c r="K19" s="80">
        <f>VLOOKUP(C19,'Sales Master'!B$3:AC$530,28,0)</f>
        <v>2.5</v>
      </c>
      <c r="L19" s="64">
        <f t="shared" ref="L19:L20" si="1">K19*G19</f>
        <v>100</v>
      </c>
      <c r="M19" s="65"/>
    </row>
    <row r="20" spans="2:16" ht="20.149999999999999" customHeight="1" x14ac:dyDescent="0.45">
      <c r="B20" s="364"/>
      <c r="C20" s="212" t="s">
        <v>1031</v>
      </c>
      <c r="D20" s="501" t="str">
        <f>VLOOKUP(C20,'Sales Master'!B$3:D$530,2,)</f>
        <v>Yam 芋头</v>
      </c>
      <c r="E20" s="501"/>
      <c r="F20" s="501"/>
      <c r="G20" s="76">
        <v>3</v>
      </c>
      <c r="H20" s="85" t="str">
        <f>VLOOKUP(C20,'Sales Master'!$B$3:$F$2413,5,0)</f>
        <v>1 KG</v>
      </c>
      <c r="I20" s="497" t="str">
        <f>VLOOKUP(C20,'Sales Master'!$B$3:$E$2481,4,0)</f>
        <v>Malaysia</v>
      </c>
      <c r="J20" s="497"/>
      <c r="K20" s="80">
        <f>VLOOKUP(C20,'Sales Master'!B$3:AC$530,28,0)</f>
        <v>3.5</v>
      </c>
      <c r="L20" s="64">
        <f t="shared" si="1"/>
        <v>10.5</v>
      </c>
      <c r="M20" s="65"/>
    </row>
    <row r="21" spans="2:16" ht="20.149999999999999" customHeight="1" x14ac:dyDescent="0.45">
      <c r="B21" s="364"/>
      <c r="C21" s="212"/>
      <c r="D21" s="501"/>
      <c r="E21" s="501"/>
      <c r="F21" s="501"/>
      <c r="G21" s="76"/>
      <c r="H21" s="85"/>
      <c r="I21" s="497"/>
      <c r="J21" s="497"/>
      <c r="K21" s="80"/>
      <c r="L21" s="64"/>
      <c r="M21" s="65"/>
    </row>
    <row r="22" spans="2:16" ht="20.149999999999999" customHeight="1" x14ac:dyDescent="0.45">
      <c r="B22" s="412"/>
      <c r="C22" s="212"/>
      <c r="D22" s="501"/>
      <c r="E22" s="501"/>
      <c r="F22" s="501"/>
      <c r="G22" s="76"/>
      <c r="H22" s="85"/>
      <c r="I22" s="497"/>
      <c r="J22" s="497"/>
      <c r="K22" s="80"/>
      <c r="L22" s="64"/>
      <c r="M22" s="65"/>
    </row>
    <row r="23" spans="2:16" ht="20.149999999999999" customHeight="1" x14ac:dyDescent="0.45">
      <c r="B23" s="364"/>
      <c r="C23" s="212"/>
      <c r="D23" s="505"/>
      <c r="E23" s="505"/>
      <c r="F23" s="505"/>
      <c r="G23" s="76"/>
      <c r="H23" s="85"/>
      <c r="I23" s="497"/>
      <c r="J23" s="497"/>
      <c r="K23" s="80"/>
      <c r="L23" s="64"/>
      <c r="M23" s="65"/>
    </row>
    <row r="24" spans="2:16" ht="20.149999999999999" customHeight="1" x14ac:dyDescent="0.45">
      <c r="B24" s="364"/>
      <c r="C24" s="149" t="s">
        <v>2317</v>
      </c>
      <c r="D24" s="403"/>
      <c r="E24" s="403"/>
      <c r="F24" s="403"/>
      <c r="G24" s="76"/>
      <c r="H24" s="186"/>
      <c r="I24" s="497"/>
      <c r="J24" s="497"/>
      <c r="K24" s="190"/>
      <c r="L24" s="64"/>
      <c r="M24" s="65"/>
    </row>
    <row r="25" spans="2:16" ht="20.149999999999999" customHeight="1" x14ac:dyDescent="0.45">
      <c r="B25" s="364"/>
      <c r="C25" s="212" t="s">
        <v>990</v>
      </c>
      <c r="D25" s="501" t="str">
        <f>VLOOKUP(C25,'[3]Sales Master'!B$3:D$663,2,0)</f>
        <v>Coconut Milk 椰浆</v>
      </c>
      <c r="E25" s="501"/>
      <c r="F25" s="501"/>
      <c r="G25" s="17">
        <v>1</v>
      </c>
      <c r="H25" s="186" t="str">
        <f>VLOOKUP(C25,'[3]Sales Master'!B$3:F$955,5,0)</f>
        <v>(1L x 12bag)/箱</v>
      </c>
      <c r="I25" s="497" t="str">
        <f>VLOOKUP(C25,'[3]Sales Master'!B$3:E$955,4,0)</f>
        <v>Kara UHT</v>
      </c>
      <c r="J25" s="497"/>
      <c r="K25" s="190">
        <v>48</v>
      </c>
      <c r="L25" s="64"/>
      <c r="M25" s="65"/>
    </row>
    <row r="26" spans="2:16" ht="20.149999999999999" customHeight="1" x14ac:dyDescent="0.45">
      <c r="B26" s="364"/>
      <c r="C26" s="212" t="s">
        <v>991</v>
      </c>
      <c r="D26" s="501" t="str">
        <f>VLOOKUP(C26,'[3]Sales Master'!B$3:D$663,2,0)</f>
        <v>Coconut Milk 椰浆小</v>
      </c>
      <c r="E26" s="501"/>
      <c r="F26" s="501"/>
      <c r="G26" s="17">
        <v>1</v>
      </c>
      <c r="H26" s="186" t="str">
        <f>VLOOKUP(C26,'[3]Sales Master'!B$3:F$955,5,0)</f>
        <v>(200gm x 30bag)/箱</v>
      </c>
      <c r="I26" s="497" t="str">
        <f>VLOOKUP(C26,'[3]Sales Master'!B$3:E$955,4,0)</f>
        <v>Kara UHT</v>
      </c>
      <c r="J26" s="497"/>
      <c r="K26" s="190">
        <v>28</v>
      </c>
      <c r="L26" s="64"/>
      <c r="M26" s="65"/>
    </row>
    <row r="27" spans="2:16" ht="20.149999999999999" customHeight="1" x14ac:dyDescent="0.45">
      <c r="B27" s="364"/>
      <c r="C27" s="212"/>
      <c r="D27" s="505"/>
      <c r="E27" s="505"/>
      <c r="F27" s="505"/>
      <c r="G27" s="76"/>
      <c r="H27" s="85"/>
      <c r="I27" s="497"/>
      <c r="J27" s="497"/>
      <c r="K27" s="80"/>
      <c r="L27" s="64"/>
      <c r="M27" s="65"/>
    </row>
    <row r="28" spans="2:16" ht="20.149999999999999" customHeight="1" x14ac:dyDescent="0.45">
      <c r="B28" s="364"/>
      <c r="C28" s="212"/>
      <c r="D28" s="501"/>
      <c r="E28" s="501"/>
      <c r="F28" s="501"/>
      <c r="G28" s="76"/>
      <c r="H28" s="85"/>
      <c r="I28" s="497"/>
      <c r="J28" s="497"/>
      <c r="K28" s="80"/>
      <c r="L28" s="64"/>
      <c r="M28" s="65"/>
    </row>
    <row r="29" spans="2:16" ht="20.149999999999999" customHeight="1" x14ac:dyDescent="0.45">
      <c r="B29" s="364"/>
      <c r="C29" s="212"/>
      <c r="D29" s="501"/>
      <c r="E29" s="501"/>
      <c r="F29" s="501"/>
      <c r="G29" s="76"/>
      <c r="H29" s="85"/>
      <c r="I29" s="497"/>
      <c r="J29" s="497"/>
      <c r="K29" s="80"/>
      <c r="L29" s="64"/>
      <c r="M29" s="65"/>
    </row>
    <row r="30" spans="2:16" ht="20.149999999999999" customHeight="1" x14ac:dyDescent="0.45">
      <c r="B30" s="364"/>
      <c r="C30" s="212"/>
      <c r="D30" s="501"/>
      <c r="E30" s="501"/>
      <c r="F30" s="501"/>
      <c r="G30" s="76"/>
      <c r="H30" s="85"/>
      <c r="I30" s="497"/>
      <c r="J30" s="497"/>
      <c r="K30" s="80"/>
      <c r="L30" s="64"/>
      <c r="M30" s="65"/>
    </row>
    <row r="31" spans="2:16" ht="20.149999999999999" customHeight="1" x14ac:dyDescent="0.45">
      <c r="B31" s="29"/>
      <c r="C31" s="212"/>
      <c r="D31" s="501"/>
      <c r="E31" s="501"/>
      <c r="F31" s="501"/>
      <c r="G31" s="76"/>
      <c r="H31" s="85"/>
      <c r="I31" s="497"/>
      <c r="J31" s="497"/>
      <c r="K31" s="8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212"/>
      <c r="D32" s="147"/>
      <c r="E32" s="147"/>
      <c r="F32" s="147"/>
      <c r="G32" s="76"/>
      <c r="H32" s="85"/>
      <c r="I32" s="208"/>
      <c r="J32" s="208"/>
      <c r="K32" s="80"/>
      <c r="L32" s="6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474"/>
      <c r="J33" s="474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SUM(L18:L34)</f>
        <v>135.5</v>
      </c>
      <c r="M35" s="63">
        <f>SUM(P18:P33)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135.5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12.195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147.69499999999999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7">
    <mergeCell ref="I24:J24"/>
    <mergeCell ref="D21:F21"/>
    <mergeCell ref="D30:F30"/>
    <mergeCell ref="I30:J30"/>
    <mergeCell ref="I29:J29"/>
    <mergeCell ref="D29:F29"/>
    <mergeCell ref="D28:F28"/>
    <mergeCell ref="I28:J28"/>
    <mergeCell ref="D27:F27"/>
    <mergeCell ref="D22:F22"/>
    <mergeCell ref="I22:J22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J39:K39"/>
    <mergeCell ref="D33:F33"/>
    <mergeCell ref="I33:J33"/>
    <mergeCell ref="J35:K35"/>
    <mergeCell ref="J37:K37"/>
    <mergeCell ref="D31:F31"/>
    <mergeCell ref="I31:J31"/>
    <mergeCell ref="I25:J25"/>
    <mergeCell ref="D25:F25"/>
    <mergeCell ref="D23:F23"/>
    <mergeCell ref="I23:J23"/>
    <mergeCell ref="I27:J27"/>
    <mergeCell ref="D26:F26"/>
    <mergeCell ref="I26:J26"/>
  </mergeCells>
  <conditionalFormatting sqref="C31:C32">
    <cfRule type="duplicateValues" dxfId="229" priority="2731"/>
  </conditionalFormatting>
  <conditionalFormatting sqref="C24">
    <cfRule type="duplicateValues" dxfId="228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21A3-B5A0-47A3-8C3D-722144DA777C}">
  <sheetPr codeName="Sheet86">
    <tabColor rgb="FFFFC000"/>
    <pageSetUpPr fitToPage="1"/>
  </sheetPr>
  <dimension ref="B1:Q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212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536</v>
      </c>
      <c r="J10" s="24" t="s">
        <v>27</v>
      </c>
      <c r="K10" s="493">
        <v>202501005</v>
      </c>
      <c r="L10" s="494"/>
      <c r="N10" s="212" t="s">
        <v>2033</v>
      </c>
      <c r="O10" s="19" t="s">
        <v>2034</v>
      </c>
    </row>
    <row r="11" spans="2:15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  735. Pasir Ris West Plaza.                                  Pasir Ris Street 72 #01-336.                               Singapore 510735          </v>
      </c>
      <c r="G11" s="481"/>
      <c r="H11" s="482"/>
      <c r="J11" s="26" t="s">
        <v>9</v>
      </c>
      <c r="K11" s="495">
        <v>45659</v>
      </c>
      <c r="L11" s="496"/>
      <c r="N11" s="212" t="s">
        <v>923</v>
      </c>
      <c r="O11" s="19" t="s">
        <v>924</v>
      </c>
    </row>
    <row r="12" spans="2:15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  <c r="N12" s="212" t="s">
        <v>919</v>
      </c>
      <c r="O12" s="19" t="s">
        <v>920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 t="s">
        <v>951</v>
      </c>
      <c r="O13" s="19" t="s">
        <v>1657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212" t="s">
        <v>953</v>
      </c>
      <c r="O14" s="19" t="s">
        <v>1566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2033</v>
      </c>
      <c r="D18" s="461" t="str">
        <f>VLOOKUP(C18,'Sales Master'!B$3:D$530,2,)</f>
        <v>Emping Belinjo 苦饼</v>
      </c>
      <c r="E18" s="461"/>
      <c r="F18" s="461"/>
      <c r="G18" s="17">
        <v>2</v>
      </c>
      <c r="H18" s="263" t="str">
        <f>VLOOKUP(C18,'Sales Master'!$B$3:$F$2413,5,0)</f>
        <v>5kg / Ctn箱</v>
      </c>
      <c r="I18" s="497" t="str">
        <f>VLOOKUP(C18,'Sales Master'!$B$3:$E$2413,4,0)</f>
        <v>-</v>
      </c>
      <c r="J18" s="497"/>
      <c r="K18" s="30">
        <f>VLOOKUP(C18,'Sales Master'!$B$3:$BH$4576,9,0)</f>
        <v>52</v>
      </c>
      <c r="L18" s="64">
        <f>K18*G18</f>
        <v>104</v>
      </c>
      <c r="N18" s="145">
        <f>VLOOKUP(C18,'Sales Master'!$B$3:$DA$2272,104,0)</f>
        <v>46</v>
      </c>
      <c r="O18" s="145">
        <f>K18-N18</f>
        <v>6</v>
      </c>
      <c r="P18" s="145">
        <f>O18*G18</f>
        <v>12</v>
      </c>
      <c r="Q18" s="170"/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204"/>
      <c r="I19" s="497"/>
      <c r="J19" s="497"/>
      <c r="K19" s="30"/>
      <c r="L19" s="64"/>
      <c r="N19" s="145"/>
      <c r="O19" s="145"/>
      <c r="P19" s="145"/>
      <c r="Q19" s="170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204"/>
      <c r="I20" s="497"/>
      <c r="J20" s="497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204"/>
      <c r="I21" s="497"/>
      <c r="J21" s="497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204"/>
      <c r="I22" s="497"/>
      <c r="J22" s="497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204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263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263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263"/>
      <c r="I26" s="497"/>
      <c r="J26" s="497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98"/>
      <c r="E27" s="498"/>
      <c r="F27" s="498"/>
      <c r="G27" s="17"/>
      <c r="H27" s="186"/>
      <c r="I27" s="497"/>
      <c r="J27" s="497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SUM(L16:L28)</f>
        <v>104</v>
      </c>
      <c r="M30" s="63">
        <f>SUM(P18:P28)-L30*0.04</f>
        <v>7.84</v>
      </c>
      <c r="N30" s="133">
        <f>M30/L30</f>
        <v>7.5384615384615383E-2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1:F21"/>
    <mergeCell ref="I21:J21"/>
    <mergeCell ref="D25:F25"/>
    <mergeCell ref="I25:J25"/>
    <mergeCell ref="D27:F27"/>
    <mergeCell ref="I27:J27"/>
    <mergeCell ref="D28:F28"/>
    <mergeCell ref="J30:K30"/>
    <mergeCell ref="J32:K32"/>
    <mergeCell ref="D26:F26"/>
    <mergeCell ref="I26:J26"/>
    <mergeCell ref="D24:F24"/>
    <mergeCell ref="I24:J24"/>
    <mergeCell ref="D18:F18"/>
    <mergeCell ref="I18:J18"/>
    <mergeCell ref="D22:F22"/>
    <mergeCell ref="I22:J22"/>
    <mergeCell ref="D23:F23"/>
    <mergeCell ref="I23:J23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CA07-AF9C-4AF0-A0CC-253C9CABB8FA}">
  <sheetPr codeName="Sheet3">
    <tabColor rgb="FFFFC000"/>
    <pageSetUpPr fitToPage="1"/>
  </sheetPr>
  <dimension ref="B1:P43"/>
  <sheetViews>
    <sheetView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537</v>
      </c>
      <c r="J10" s="24" t="s">
        <v>27</v>
      </c>
      <c r="K10" s="493">
        <v>202311583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White Sands                                                 1 Pasir Ris Central St 3, #03-01/02,    Singapore 518457                         (Drink)</v>
      </c>
      <c r="G11" s="481"/>
      <c r="H11" s="482"/>
      <c r="J11" s="26" t="s">
        <v>9</v>
      </c>
      <c r="K11" s="495">
        <v>45257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197" t="s">
        <v>29</v>
      </c>
      <c r="I17" s="470" t="s">
        <v>53</v>
      </c>
      <c r="J17" s="472"/>
      <c r="K17" s="9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741</v>
      </c>
      <c r="D18" s="498" t="str">
        <f>VLOOKUP(C18,'Sales Master'!B$3:D$530,2,)</f>
        <v>Pong Thai Hai (Wet) 碰大海(湿)</v>
      </c>
      <c r="E18" s="498"/>
      <c r="F18" s="498"/>
      <c r="G18" s="17">
        <v>3</v>
      </c>
      <c r="H18" s="186" t="str">
        <f>VLOOKUP(C18,'Sales Master'!$B$3:$F$2413,5,0)</f>
        <v>1 KG/ Pkt包</v>
      </c>
      <c r="I18" s="497" t="str">
        <f>VLOOKUP(C18,'Sales Master'!$B$3:$E$2413,4,0)</f>
        <v>DO!</v>
      </c>
      <c r="J18" s="497"/>
      <c r="K18" s="30">
        <f>VLOOKUP(C18,'Sales Master'!B$3:AL$530,37,0)</f>
        <v>10</v>
      </c>
      <c r="L18" s="64">
        <f>K18*G18</f>
        <v>30</v>
      </c>
      <c r="M18" s="65"/>
      <c r="N18" s="145">
        <f>VLOOKUP(C18,'Sales Master'!$B$3:$DA$2272,104,0)</f>
        <v>0.9</v>
      </c>
      <c r="O18" s="145">
        <f>K18-N18</f>
        <v>9.1</v>
      </c>
      <c r="P18" s="145">
        <f>O18*G18</f>
        <v>27.299999999999997</v>
      </c>
    </row>
    <row r="19" spans="2:16" ht="20.149999999999999" customHeight="1" x14ac:dyDescent="0.45">
      <c r="B19" s="29"/>
      <c r="C19" s="212" t="s">
        <v>769</v>
      </c>
      <c r="D19" s="518" t="str">
        <f>VLOOKUP(C19,'Sales Master'!B$3:D$530,2,)</f>
        <v>Jelly Powder 文头雪粉 (Carrageenan)</v>
      </c>
      <c r="E19" s="518"/>
      <c r="F19" s="518"/>
      <c r="G19" s="17">
        <v>1</v>
      </c>
      <c r="H19" s="186" t="str">
        <f>VLOOKUP(C19,'Sales Master'!$B$3:$F$2413,5,0)</f>
        <v>42gm x 10PKT/Bag</v>
      </c>
      <c r="I19" s="497" t="str">
        <f>VLOOKUP(C19,'Sales Master'!$B$3:$E$2413,4,0)</f>
        <v>500/4000</v>
      </c>
      <c r="J19" s="497"/>
      <c r="K19" s="30">
        <f>VLOOKUP(C19,'Sales Master'!B$3:AL$530,37,0)</f>
        <v>28</v>
      </c>
      <c r="L19" s="64">
        <f>K19*G19</f>
        <v>28</v>
      </c>
      <c r="M19" s="65"/>
      <c r="N19" s="145">
        <f>VLOOKUP(C19,'Sales Master'!$B$3:$DA$2272,104,0)</f>
        <v>1.9530000000000003</v>
      </c>
      <c r="O19" s="145">
        <f>K19-N19</f>
        <v>26.047000000000001</v>
      </c>
      <c r="P19" s="145">
        <f>O19*G19</f>
        <v>26.047000000000001</v>
      </c>
    </row>
    <row r="20" spans="2:16" ht="20.149999999999999" customHeight="1" x14ac:dyDescent="0.45">
      <c r="B20" s="29"/>
      <c r="C20" s="212" t="s">
        <v>868</v>
      </c>
      <c r="D20" s="461" t="str">
        <f>VLOOKUP(C20,'Sales Master'!B$3:D$530,2,)</f>
        <v>White Wheat 大麦</v>
      </c>
      <c r="E20" s="461"/>
      <c r="F20" s="461"/>
      <c r="G20" s="17">
        <v>2</v>
      </c>
      <c r="H20" s="186" t="str">
        <f>VLOOKUP(C20,'Sales Master'!$B$3:$F$2413,5,0)</f>
        <v>10 PKT/ Bag</v>
      </c>
      <c r="I20" s="497" t="str">
        <f>VLOOKUP(C20,'Sales Master'!$B$3:$E$2413,4,0)</f>
        <v>-</v>
      </c>
      <c r="J20" s="497"/>
      <c r="K20" s="30">
        <f>VLOOKUP(C20,'Sales Master'!B$3:AL$530,37,0)</f>
        <v>9.5</v>
      </c>
      <c r="L20" s="64">
        <f>K20*G20</f>
        <v>19</v>
      </c>
      <c r="M20" s="65"/>
      <c r="N20" s="145">
        <f>VLOOKUP(C20,'Sales Master'!$B$3:$DA$2272,104,0)</f>
        <v>7.8</v>
      </c>
      <c r="O20" s="145">
        <f>K20-N20</f>
        <v>1.7000000000000002</v>
      </c>
      <c r="P20" s="145">
        <f>O20*G20</f>
        <v>3.4000000000000004</v>
      </c>
    </row>
    <row r="21" spans="2:16" ht="20.149999999999999" customHeight="1" x14ac:dyDescent="0.45">
      <c r="B21" s="29"/>
      <c r="C21" s="212" t="s">
        <v>990</v>
      </c>
      <c r="D21" s="461" t="str">
        <f>VLOOKUP(C21,'Sales Master'!B$3:D$530,2,)</f>
        <v>Coconut Milk 椰浆</v>
      </c>
      <c r="E21" s="461"/>
      <c r="F21" s="461"/>
      <c r="G21" s="17">
        <v>5</v>
      </c>
      <c r="H21" s="186" t="str">
        <f>VLOOKUP(C21,'Sales Master'!$B$3:$F$2413,5,0)</f>
        <v>(1L x 12bag)/箱</v>
      </c>
      <c r="I21" s="497" t="str">
        <f>VLOOKUP(C21,'Sales Master'!$B$3:$E$2413,4,0)</f>
        <v>Kara UHT</v>
      </c>
      <c r="J21" s="497"/>
      <c r="K21" s="30">
        <f>VLOOKUP(C21,'Sales Master'!B$3:AL$530,37,0)</f>
        <v>42</v>
      </c>
      <c r="L21" s="64">
        <f>K21*G21</f>
        <v>210</v>
      </c>
      <c r="M21" s="65"/>
      <c r="N21" s="145">
        <f>VLOOKUP(C21,'Sales Master'!$B$3:$DA$2272,104,0)</f>
        <v>35.799999999999997</v>
      </c>
      <c r="O21" s="145">
        <f>K21-N21</f>
        <v>6.2000000000000028</v>
      </c>
      <c r="P21" s="145">
        <f>O21*G21</f>
        <v>31.000000000000014</v>
      </c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17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86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86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287</v>
      </c>
      <c r="M30" s="63">
        <f>SUM(P18:P27)-L30*0.02</f>
        <v>82.007000000000019</v>
      </c>
      <c r="N30" s="133">
        <f>M30/L30</f>
        <v>0.28573867595818819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25.83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312.83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C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C41" s="45"/>
      <c r="J41" s="19" t="s">
        <v>26</v>
      </c>
      <c r="L41" s="37"/>
    </row>
    <row r="42" spans="2:12" ht="19" thickBot="1" x14ac:dyDescent="0.5">
      <c r="B42" s="47"/>
      <c r="C42" s="12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19" thickBot="1" x14ac:dyDescent="0.5">
      <c r="C43" s="4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C000"/>
    <pageSetUpPr fitToPage="1"/>
  </sheetPr>
  <dimension ref="B1:V42"/>
  <sheetViews>
    <sheetView topLeftCell="B26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538</v>
      </c>
      <c r="J10" s="24" t="s">
        <v>27</v>
      </c>
      <c r="K10" s="493">
        <v>202501048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Shaw Lido Orchard@Drink Stall                   1, Scotts Road #B1-01 Shaw Centre        Singapore 228208                                 </v>
      </c>
      <c r="G11" s="481"/>
      <c r="H11" s="482"/>
      <c r="J11" s="26" t="s">
        <v>9</v>
      </c>
      <c r="K11" s="511">
        <v>45660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 t="s">
        <v>1307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831</v>
      </c>
      <c r="D18" s="461" t="str">
        <f>VLOOKUP(C18,'Sales Master'!B$3:D$530,2,)</f>
        <v>Chin Chow  仙草</v>
      </c>
      <c r="E18" s="461"/>
      <c r="F18" s="461"/>
      <c r="G18" s="76">
        <v>3</v>
      </c>
      <c r="H18" s="183" t="str">
        <f>VLOOKUP(C18,'Sales Master'!$B$3:$F$2413,5,0)</f>
        <v>4 KG/ Pkt包</v>
      </c>
      <c r="I18" s="462" t="str">
        <f>VLOOKUP(C18,'Sales Master'!$B$3:$E$2413,4,0)</f>
        <v>TSM</v>
      </c>
      <c r="J18" s="462"/>
      <c r="K18" s="83">
        <f>VLOOKUP(C18,'Sales Master'!B$3:I$530,8,0)</f>
        <v>6</v>
      </c>
      <c r="L18" s="84">
        <f>K18*G18</f>
        <v>18</v>
      </c>
      <c r="N18" s="145">
        <f>VLOOKUP(C18,'Sales Master'!$B$3:$DA$2272,104,0)</f>
        <v>4</v>
      </c>
      <c r="O18" s="145">
        <f>K18-N18</f>
        <v>2</v>
      </c>
      <c r="P18" s="145">
        <f>O18*G18</f>
        <v>6</v>
      </c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572"/>
      <c r="L20" s="573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G21" s="76"/>
      <c r="H21" s="183"/>
      <c r="I21" s="462"/>
      <c r="J21" s="462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462"/>
      <c r="J23" s="462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462"/>
      <c r="J24" s="462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462"/>
      <c r="J25" s="462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462"/>
      <c r="J26" s="462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61"/>
      <c r="E27" s="461"/>
      <c r="F27" s="461"/>
      <c r="G27" s="76"/>
      <c r="H27" s="183"/>
      <c r="I27" s="462"/>
      <c r="J27" s="462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18</v>
      </c>
      <c r="M30" s="63">
        <f>SUM(P18:P28)</f>
        <v>6</v>
      </c>
      <c r="N30" s="133">
        <f>M30/L30</f>
        <v>0.33333333333333331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1.6199999999999999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19.62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  <mergeCell ref="D23:F23"/>
    <mergeCell ref="I23:J23"/>
    <mergeCell ref="D24:F24"/>
    <mergeCell ref="I24:J24"/>
    <mergeCell ref="D28:F28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K20:L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</mergeCells>
  <conditionalFormatting sqref="C18">
    <cfRule type="duplicateValues" dxfId="147" priority="2"/>
  </conditionalFormatting>
  <conditionalFormatting sqref="C25 C19:C23">
    <cfRule type="duplicateValues" dxfId="146" priority="3"/>
  </conditionalFormatting>
  <conditionalFormatting sqref="N13">
    <cfRule type="duplicateValues" dxfId="145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topLeftCell="A29" workbookViewId="0">
      <selection activeCell="K19" sqref="K1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" style="19" customWidth="1"/>
    <col min="9" max="9" width="1.1796875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542</v>
      </c>
      <c r="J10" s="68" t="s">
        <v>27</v>
      </c>
      <c r="K10" s="493">
        <v>202501056</v>
      </c>
      <c r="L10" s="494"/>
    </row>
    <row r="11" spans="2:15" ht="20.149999999999999" customHeight="1" x14ac:dyDescent="0.45">
      <c r="B11" s="541"/>
      <c r="C11" s="542"/>
      <c r="D11" s="543"/>
      <c r="E11" s="25"/>
      <c r="F11" s="480" t="str">
        <f>VLOOKUP(H10,'Delivery Location'!A$4:N$460,2,0)</f>
        <v xml:space="preserve">Tel: 90294611                                   Block 417  Yishun Avenue 11. Singapore                                                       </v>
      </c>
      <c r="G11" s="481"/>
      <c r="H11" s="482"/>
      <c r="J11" s="69" t="s">
        <v>9</v>
      </c>
      <c r="K11" s="495">
        <v>45666</v>
      </c>
      <c r="L11" s="496"/>
    </row>
    <row r="12" spans="2:15" ht="20.149999999999999" customHeight="1" x14ac:dyDescent="0.45">
      <c r="B12" s="488"/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  <c r="N12" s="19" t="s">
        <v>954</v>
      </c>
      <c r="O12" s="19">
        <v>24</v>
      </c>
    </row>
    <row r="13" spans="2:15" ht="20.149999999999999" customHeight="1" x14ac:dyDescent="0.45">
      <c r="B13" s="488"/>
      <c r="C13" s="449"/>
      <c r="D13" s="489"/>
      <c r="E13" s="25"/>
      <c r="F13" s="483"/>
      <c r="G13" s="484"/>
      <c r="H13" s="485"/>
      <c r="J13" s="69" t="s">
        <v>10</v>
      </c>
      <c r="K13" s="463" t="s">
        <v>442</v>
      </c>
      <c r="L13" s="464"/>
      <c r="N13" s="19" t="s">
        <v>832</v>
      </c>
      <c r="O13" s="93">
        <v>15</v>
      </c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5" ht="18" customHeight="1" thickBot="1" x14ac:dyDescent="0.5">
      <c r="B15" s="50"/>
      <c r="C15" s="51"/>
      <c r="D15" s="52"/>
      <c r="E15" s="21"/>
      <c r="F15" s="465"/>
      <c r="G15" s="466"/>
      <c r="H15" s="467"/>
      <c r="J15" s="70" t="s">
        <v>11</v>
      </c>
      <c r="K15" s="468"/>
      <c r="L15" s="469"/>
    </row>
    <row r="16" spans="2:15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2258</v>
      </c>
      <c r="D18" s="461" t="str">
        <f>VLOOKUP(C18,'Sales Master'!B$3:D$530,2,)</f>
        <v>Longan in Syrup 龙眼</v>
      </c>
      <c r="E18" s="461"/>
      <c r="F18" s="461"/>
      <c r="G18" s="76">
        <v>2</v>
      </c>
      <c r="H18" s="230" t="str">
        <f>VLOOKUP(C18,'Sales Master'!$B$3:$F$2413,5,0)</f>
        <v>(565gm x 12)/ Ctn箱</v>
      </c>
      <c r="I18" s="491" t="str">
        <f>VLOOKUP(C18,'Sales Master'!$B$3:$E$2413,4,0)</f>
        <v>GoldenBoy</v>
      </c>
      <c r="J18" s="491"/>
      <c r="K18" s="80">
        <v>25.7</v>
      </c>
      <c r="L18" s="64">
        <f>K18*G18</f>
        <v>51.4</v>
      </c>
      <c r="M18" s="65"/>
      <c r="N18" s="145">
        <f>VLOOKUP(C18,'Sales Master'!$B$3:$DA$2272,104,0)</f>
        <v>20</v>
      </c>
      <c r="O18" s="145">
        <f>K18-N18</f>
        <v>5.6999999999999993</v>
      </c>
      <c r="P18" s="145">
        <f>O18*G18</f>
        <v>11.399999999999999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523"/>
      <c r="J19" s="523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23"/>
      <c r="J20" s="523"/>
      <c r="K20" s="30"/>
      <c r="L20" s="64"/>
      <c r="M20" s="65"/>
    </row>
    <row r="21" spans="2:16" ht="20.149999999999999" customHeight="1" x14ac:dyDescent="0.45">
      <c r="B21" s="66"/>
      <c r="C21" s="17"/>
      <c r="D21" s="461"/>
      <c r="E21" s="461"/>
      <c r="F21" s="461"/>
      <c r="G21" s="76"/>
      <c r="H21" s="56"/>
      <c r="I21" s="523"/>
      <c r="J21" s="52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23"/>
      <c r="J22" s="52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23"/>
      <c r="J23" s="523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23"/>
      <c r="J24" s="523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23"/>
      <c r="J25" s="523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23"/>
      <c r="J26" s="523"/>
      <c r="K26" s="30"/>
      <c r="L26" s="64"/>
      <c r="M26" s="65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524"/>
      <c r="J27" s="52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72"/>
      <c r="J29" s="455" t="s">
        <v>13</v>
      </c>
      <c r="K29" s="456"/>
      <c r="L29" s="38">
        <f>SUM(L17:L27)</f>
        <v>51.4</v>
      </c>
      <c r="M29" s="63">
        <f>SUM(P18)</f>
        <v>11.399999999999999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72"/>
      <c r="J30" s="39" t="s">
        <v>20</v>
      </c>
      <c r="K30" s="40"/>
      <c r="L30" s="41"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72"/>
      <c r="J31" s="457" t="s">
        <v>19</v>
      </c>
      <c r="K31" s="458"/>
      <c r="L31" s="41">
        <f>L29-L30</f>
        <v>51.4</v>
      </c>
      <c r="O31" s="63"/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72"/>
      <c r="J32" s="102" t="s">
        <v>15</v>
      </c>
      <c r="K32" s="103">
        <f>'Sales Master'!$B$1</f>
        <v>0.09</v>
      </c>
      <c r="L32" s="42">
        <f>L31*K32</f>
        <v>4.6259999999999994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72"/>
      <c r="J33" s="459" t="s">
        <v>21</v>
      </c>
      <c r="K33" s="460"/>
      <c r="L33" s="43">
        <f>L31+L32</f>
        <v>56.025999999999996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72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73"/>
      <c r="K39" s="45"/>
      <c r="L39" s="46"/>
    </row>
    <row r="40" spans="2:12" ht="20.149999999999999" customHeight="1" x14ac:dyDescent="0.45">
      <c r="B40" s="36" t="s">
        <v>25</v>
      </c>
      <c r="J40" s="67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74"/>
      <c r="J41" s="74"/>
      <c r="K41" s="48"/>
      <c r="L41" s="49"/>
    </row>
  </sheetData>
  <mergeCells count="37"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3:F23"/>
    <mergeCell ref="I23:J23"/>
    <mergeCell ref="D19:F19"/>
    <mergeCell ref="I19:J19"/>
    <mergeCell ref="D20:F20"/>
    <mergeCell ref="I20:J20"/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C000"/>
    <pageSetUpPr fitToPage="1"/>
  </sheetPr>
  <dimension ref="B1:V42"/>
  <sheetViews>
    <sheetView topLeftCell="A8" zoomScale="98" zoomScaleNormal="9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554</v>
      </c>
      <c r="J10" s="24" t="s">
        <v>27</v>
      </c>
      <c r="K10" s="493">
        <v>202306064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Tai Seng Street,   #01-06/07/08      Breadtalk IHQ, Singapore 534013                             </v>
      </c>
      <c r="G11" s="481"/>
      <c r="H11" s="482"/>
      <c r="J11" s="26" t="s">
        <v>9</v>
      </c>
      <c r="K11" s="511">
        <v>45080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 t="s">
        <v>1307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728</v>
      </c>
      <c r="D18" s="461" t="str">
        <f>VLOOKUP(C18,'Sales Master'!B$3:D$530,2,)</f>
        <v>Strawberry Puree 草莓</v>
      </c>
      <c r="E18" s="461"/>
      <c r="F18" s="461"/>
      <c r="G18" s="76">
        <v>5</v>
      </c>
      <c r="H18" s="183" t="str">
        <f>VLOOKUP(C18,'Sales Master'!$B$3:$F$2413,5,0)</f>
        <v>1 KG/ Box盒</v>
      </c>
      <c r="I18" s="462" t="str">
        <f>VLOOKUP(C18,'Sales Master'!$B$3:$E$2413,4,0)</f>
        <v>DO!</v>
      </c>
      <c r="J18" s="462"/>
      <c r="K18" s="83">
        <f>VLOOKUP(C18,'Sales Master'!B$3:I$530,8,0)</f>
        <v>8</v>
      </c>
      <c r="L18" s="84">
        <f>K18*G18</f>
        <v>40</v>
      </c>
      <c r="N18" s="145">
        <f>VLOOKUP(C18,'Sales Master'!$B$3:$DA$2272,104,0)</f>
        <v>4.68</v>
      </c>
      <c r="O18" s="145">
        <f>K18-N18</f>
        <v>3.3200000000000003</v>
      </c>
      <c r="P18" s="145">
        <f>O18*G18</f>
        <v>16.600000000000001</v>
      </c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462"/>
      <c r="J23" s="462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462"/>
      <c r="J24" s="462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462"/>
      <c r="J25" s="462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462"/>
      <c r="J26" s="462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61"/>
      <c r="E27" s="461"/>
      <c r="F27" s="461"/>
      <c r="G27" s="76"/>
      <c r="H27" s="183"/>
      <c r="I27" s="462"/>
      <c r="J27" s="462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40</v>
      </c>
      <c r="M30" s="63">
        <f>SUM(P18:P28)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J34:K34"/>
    <mergeCell ref="D25:F25"/>
    <mergeCell ref="I25:J25"/>
    <mergeCell ref="D26:F26"/>
    <mergeCell ref="I26:J26"/>
    <mergeCell ref="D27:F27"/>
    <mergeCell ref="I27:J27"/>
    <mergeCell ref="D24:F24"/>
    <mergeCell ref="I24:J24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44" priority="2"/>
  </conditionalFormatting>
  <conditionalFormatting sqref="C25 C19:C23">
    <cfRule type="duplicateValues" dxfId="143" priority="3"/>
  </conditionalFormatting>
  <conditionalFormatting sqref="N13">
    <cfRule type="duplicateValues" dxfId="142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C000"/>
    <pageSetUpPr fitToPage="1"/>
  </sheetPr>
  <dimension ref="B1:P1048574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1550</v>
      </c>
      <c r="J10" s="24" t="s">
        <v>27</v>
      </c>
      <c r="K10" s="493">
        <v>202305424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95">
        <v>45064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728</v>
      </c>
      <c r="D18" s="461" t="str">
        <f>VLOOKUP(C18,'Sales Master'!B$3:D$530,2,)</f>
        <v>Strawberry Puree 草莓</v>
      </c>
      <c r="E18" s="461"/>
      <c r="F18" s="461"/>
      <c r="G18" s="76">
        <v>5</v>
      </c>
      <c r="H18" s="183" t="str">
        <f>VLOOKUP(C18,'Sales Master'!$B$3:$F$2413,5,0)</f>
        <v>1 KG/ Box盒</v>
      </c>
      <c r="I18" s="462" t="str">
        <f>VLOOKUP(C18,'Sales Master'!$B$3:$E$2413,4,0)</f>
        <v>DO!</v>
      </c>
      <c r="J18" s="462"/>
      <c r="K18" s="83">
        <f>VLOOKUP(C18,'Sales Master'!B$3:I$530,8,0)</f>
        <v>8</v>
      </c>
      <c r="L18" s="84">
        <f>K18*G18</f>
        <v>40</v>
      </c>
      <c r="N18" s="145">
        <f>VLOOKUP(C18,'Sales Master'!$B$3:$DA$2272,104,0)</f>
        <v>4.68</v>
      </c>
      <c r="O18" s="145">
        <f>K18-N18</f>
        <v>3.3200000000000003</v>
      </c>
      <c r="P18" s="145">
        <f>O18*G18</f>
        <v>16.600000000000001</v>
      </c>
    </row>
    <row r="19" spans="2:16" ht="20.149999999999999" customHeight="1" x14ac:dyDescent="0.45">
      <c r="B19" s="29"/>
      <c r="C19" s="17" t="s">
        <v>960</v>
      </c>
      <c r="D19" s="461" t="str">
        <f>VLOOKUP(C19,'Sales Master'!B$3:D$530,2,)</f>
        <v>Lychee in Syrup 荔枝</v>
      </c>
      <c r="E19" s="461"/>
      <c r="F19" s="461"/>
      <c r="G19" s="76">
        <v>2</v>
      </c>
      <c r="H19" s="183" t="str">
        <f>VLOOKUP(C19,'Sales Master'!$B$3:$F$2413,5,0)</f>
        <v>12can/箱</v>
      </c>
      <c r="I19" s="462" t="str">
        <f>VLOOKUP(C19,'Sales Master'!$B$3:$E$2413,4,0)</f>
        <v>MiLi</v>
      </c>
      <c r="J19" s="462"/>
      <c r="K19" s="83">
        <f>VLOOKUP(C19,'Sales Master'!B$3:I$530,8,0)</f>
        <v>24</v>
      </c>
      <c r="L19" s="84">
        <f>K19*G19</f>
        <v>48</v>
      </c>
      <c r="N19" s="145">
        <f>VLOOKUP(C19,'Sales Master'!$B$3:$DA$2272,104,0)</f>
        <v>20</v>
      </c>
      <c r="O19" s="145">
        <f>K19-N19</f>
        <v>4</v>
      </c>
      <c r="P19" s="145">
        <f>O19*G19</f>
        <v>8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454"/>
      <c r="E26" s="454"/>
      <c r="F26" s="454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SUM(L18:L27)</f>
        <v>88</v>
      </c>
      <c r="M28" s="63">
        <f>SUM(P18:P26)</f>
        <v>24.6</v>
      </c>
      <c r="N28" s="133">
        <f>M28/L28</f>
        <v>0.27954545454545454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88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7.92</v>
      </c>
    </row>
    <row r="32" spans="2:16" ht="20.149999999999999" customHeight="1" thickBot="1" x14ac:dyDescent="0.5">
      <c r="B32" s="10" t="s">
        <v>700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95.92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690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462"/>
      <c r="J1048574" s="462"/>
      <c r="K1048574" s="83"/>
      <c r="L1048574" s="84"/>
      <c r="N1048574" s="145"/>
      <c r="O1048574" s="145"/>
      <c r="P1048574" s="145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D21:F21"/>
    <mergeCell ref="I21:J21"/>
    <mergeCell ref="D22:F22"/>
    <mergeCell ref="I22:J22"/>
    <mergeCell ref="J30:K30"/>
    <mergeCell ref="J32:K32"/>
    <mergeCell ref="I1048574:J1048574"/>
    <mergeCell ref="D23:F23"/>
    <mergeCell ref="I23:J23"/>
    <mergeCell ref="D24:F24"/>
    <mergeCell ref="I24:J24"/>
    <mergeCell ref="D26:F26"/>
    <mergeCell ref="J28:K28"/>
  </mergeCells>
  <conditionalFormatting sqref="C18">
    <cfRule type="duplicateValues" dxfId="141" priority="2"/>
  </conditionalFormatting>
  <conditionalFormatting sqref="C19">
    <cfRule type="duplicateValues" dxfId="140" priority="1"/>
  </conditionalFormatting>
  <conditionalFormatting sqref="C21">
    <cfRule type="duplicateValues" dxfId="139" priority="4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C000"/>
    <pageSetUpPr fitToPage="1"/>
  </sheetPr>
  <dimension ref="B1:P1048574"/>
  <sheetViews>
    <sheetView topLeftCell="B7" workbookViewId="0">
      <selection activeCell="B1" sqref="B1:L4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558</v>
      </c>
      <c r="J10" s="24" t="s">
        <v>27</v>
      </c>
      <c r="K10" s="493">
        <v>202305605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95">
        <v>45072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960</v>
      </c>
      <c r="D18" s="461" t="str">
        <f>VLOOKUP(C18,'Sales Master'!B$3:D$530,2,)</f>
        <v>Lychee in Syrup 荔枝</v>
      </c>
      <c r="E18" s="461"/>
      <c r="F18" s="461"/>
      <c r="G18" s="76">
        <v>2</v>
      </c>
      <c r="H18" s="183" t="str">
        <f>VLOOKUP(C18,'Sales Master'!$B$3:$F$2413,5,0)</f>
        <v>12can/箱</v>
      </c>
      <c r="I18" s="462" t="str">
        <f>VLOOKUP(C18,'Sales Master'!$B$3:$E$2413,4,0)</f>
        <v>MiLi</v>
      </c>
      <c r="J18" s="462"/>
      <c r="K18" s="83">
        <f>VLOOKUP(C18,'Sales Master'!B$3:I$530,8,0)</f>
        <v>24</v>
      </c>
      <c r="L18" s="84">
        <f>K18*G18</f>
        <v>48</v>
      </c>
      <c r="N18" s="145">
        <f>VLOOKUP(C18,'Sales Master'!$B$3:$DA$2272,104,0)</f>
        <v>20</v>
      </c>
      <c r="O18" s="145">
        <f>K18-N18</f>
        <v>4</v>
      </c>
      <c r="P18" s="145">
        <f>O18*G18</f>
        <v>8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454"/>
      <c r="E26" s="454"/>
      <c r="F26" s="454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SUM(L18:L27)</f>
        <v>48</v>
      </c>
      <c r="M28" s="63">
        <f>SUM(P18:P26)</f>
        <v>8</v>
      </c>
      <c r="N28" s="133">
        <f>M28/L28</f>
        <v>0.16666666666666666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48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4.32</v>
      </c>
    </row>
    <row r="32" spans="2:16" ht="20.149999999999999" customHeight="1" thickBot="1" x14ac:dyDescent="0.5">
      <c r="B32" s="10" t="s">
        <v>700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52.32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690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462"/>
      <c r="J1048574" s="462"/>
      <c r="K1048574" s="83"/>
      <c r="L1048574" s="84"/>
      <c r="N1048574" s="145"/>
      <c r="O1048574" s="145"/>
      <c r="P1048574" s="145"/>
    </row>
  </sheetData>
  <mergeCells count="34">
    <mergeCell ref="J32:K32"/>
    <mergeCell ref="I1048574:J1048574"/>
    <mergeCell ref="D24:F24"/>
    <mergeCell ref="I24:J24"/>
    <mergeCell ref="D26:F26"/>
    <mergeCell ref="J28:K28"/>
    <mergeCell ref="J30:K30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38" priority="2"/>
  </conditionalFormatting>
  <conditionalFormatting sqref="C19">
    <cfRule type="duplicateValues" dxfId="137" priority="1"/>
  </conditionalFormatting>
  <conditionalFormatting sqref="C21">
    <cfRule type="duplicateValues" dxfId="136" priority="3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1556</v>
      </c>
      <c r="J10" s="24" t="s">
        <v>27</v>
      </c>
      <c r="K10" s="493">
        <v>202403166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    Blk 511 Canberra Road, #01-01 Sembawang Mart, Singapore 750511</v>
      </c>
      <c r="G11" s="481"/>
      <c r="H11" s="482"/>
      <c r="J11" s="26" t="s">
        <v>9</v>
      </c>
      <c r="K11" s="495">
        <v>45358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1967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3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2</v>
      </c>
      <c r="H18" s="186" t="str">
        <f>VLOOKUP(C18,'Sales Master'!$B$3:$F$2481,5,0)</f>
        <v>(1L x 12bag)/箱</v>
      </c>
      <c r="I18" s="497" t="str">
        <f>VLOOKUP(C18,'Sales Master'!$B$3:$E$2481,4,0)</f>
        <v>Kara UHT</v>
      </c>
      <c r="J18" s="497"/>
      <c r="K18" s="30">
        <f>VLOOKUP(C18,'Sales Master'!B$3:J$530,9,0)</f>
        <v>42</v>
      </c>
      <c r="L18" s="64">
        <f>K18*G18</f>
        <v>84</v>
      </c>
      <c r="M18" s="65"/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12.400000000000006</v>
      </c>
    </row>
    <row r="19" spans="2:23" ht="20.149999999999999" customHeight="1" x14ac:dyDescent="0.45">
      <c r="B19" s="29"/>
      <c r="C19" s="147"/>
      <c r="D19" s="461"/>
      <c r="E19" s="461"/>
      <c r="F19" s="461"/>
      <c r="G19" s="17"/>
      <c r="H19" s="186"/>
      <c r="I19" s="497"/>
      <c r="J19" s="497"/>
      <c r="K19" s="3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347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6"/>
      <c r="I20" s="497"/>
      <c r="J20" s="497"/>
      <c r="K20" s="30"/>
      <c r="L20" s="64"/>
      <c r="M20" s="65"/>
      <c r="N20" s="145"/>
      <c r="O20" s="145"/>
      <c r="P20" s="145"/>
      <c r="R20" s="19">
        <v>1</v>
      </c>
      <c r="S20" s="19" t="s">
        <v>386</v>
      </c>
      <c r="T20" s="19" t="s">
        <v>450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  <c r="R21" s="19">
        <v>1</v>
      </c>
      <c r="S21" s="19" t="s">
        <v>386</v>
      </c>
      <c r="T21" s="19" t="s">
        <v>452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93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62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23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84</v>
      </c>
      <c r="M31" s="63">
        <f>SUM(P18:P29)-L31*0.02</f>
        <v>10.720000000000006</v>
      </c>
      <c r="N31" s="133">
        <f>M31/L31</f>
        <v>0.12761904761904769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84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7.56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91.56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1:K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15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570</v>
      </c>
      <c r="J10" s="68" t="s">
        <v>27</v>
      </c>
      <c r="K10" s="493">
        <v>202306339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81"/>
      <c r="H11" s="482"/>
      <c r="J11" s="69" t="s">
        <v>9</v>
      </c>
      <c r="K11" s="495">
        <v>45092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468"/>
      <c r="L15" s="469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212" t="s">
        <v>954</v>
      </c>
      <c r="D18" s="461" t="str">
        <f>VLOOKUP(C18,'Sales Master'!B$3:D$530,2,)</f>
        <v>Longan in Syrup 龙眼</v>
      </c>
      <c r="E18" s="461"/>
      <c r="F18" s="461"/>
      <c r="G18" s="17">
        <v>1</v>
      </c>
      <c r="H18" s="56" t="str">
        <f>VLOOKUP(C18,'Sales Master'!$B$3:$F$2481,5,0)</f>
        <v>(565gm x 12)/ Ctn箱</v>
      </c>
      <c r="I18" s="491" t="str">
        <f>VLOOKUP(C18,'Sales Master'!$B$3:$E$2481,4,0)</f>
        <v>YiFong</v>
      </c>
      <c r="J18" s="491"/>
      <c r="K18" s="30">
        <f>VLOOKUP(C18,'Sales Master'!B$3:AV$530,47,0)</f>
        <v>0</v>
      </c>
      <c r="L18" s="64">
        <f>K18*G18</f>
        <v>0</v>
      </c>
      <c r="M18" s="65"/>
      <c r="N18" s="145">
        <f>VLOOKUP(C18,'Sales Master'!$B$3:$DA$2272,104,0)</f>
        <v>19.534883720930232</v>
      </c>
      <c r="O18" s="145">
        <f>K18-N18</f>
        <v>-19.534883720930232</v>
      </c>
      <c r="P18" s="145">
        <f>O18*G18</f>
        <v>-19.534883720930232</v>
      </c>
      <c r="R18" s="19">
        <v>2</v>
      </c>
      <c r="S18" s="19" t="s">
        <v>218</v>
      </c>
      <c r="T18" s="19" t="s">
        <v>450</v>
      </c>
      <c r="V18" s="19">
        <v>32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92"/>
      <c r="R19" s="19">
        <v>2</v>
      </c>
      <c r="S19" s="19" t="s">
        <v>345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92"/>
      <c r="M20" s="65"/>
      <c r="R20" s="19">
        <v>1</v>
      </c>
      <c r="S20" s="19" t="s">
        <v>417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92"/>
      <c r="M21" s="65"/>
      <c r="R21" s="19">
        <v>10</v>
      </c>
      <c r="S21" s="19" t="s">
        <v>215</v>
      </c>
      <c r="T21" s="19" t="s">
        <v>440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491"/>
      <c r="J22" s="491"/>
      <c r="K22" s="30"/>
      <c r="L22" s="92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92"/>
      <c r="M23" s="65"/>
      <c r="R23" s="19">
        <v>1</v>
      </c>
      <c r="S23" s="19" t="s">
        <v>34</v>
      </c>
      <c r="T23" s="19" t="s">
        <v>470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92"/>
      <c r="M24" s="65"/>
      <c r="R24" s="19">
        <v>1</v>
      </c>
      <c r="S24" s="19" t="s">
        <v>352</v>
      </c>
      <c r="T24" s="19" t="s">
        <v>351</v>
      </c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92"/>
      <c r="M26" s="65"/>
      <c r="R26" s="19">
        <v>1</v>
      </c>
      <c r="S26" s="19" t="s">
        <v>550</v>
      </c>
      <c r="T26" s="19" t="s">
        <v>388</v>
      </c>
      <c r="V26" s="19">
        <v>38</v>
      </c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91"/>
      <c r="J30" s="491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91"/>
      <c r="J31" s="491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91"/>
      <c r="J32" s="491"/>
      <c r="K32" s="30"/>
      <c r="L32" s="92"/>
      <c r="M32" s="65"/>
    </row>
    <row r="33" spans="2:13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527"/>
      <c r="J33" s="527"/>
      <c r="K33" s="34"/>
      <c r="L33" s="7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55" t="s">
        <v>13</v>
      </c>
      <c r="K35" s="456"/>
      <c r="L35" s="38">
        <f>SUM(L17:L32)</f>
        <v>0</v>
      </c>
      <c r="M35" s="63">
        <f>SUM(P18:P30)</f>
        <v>-19.534883720930232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57" t="s">
        <v>19</v>
      </c>
      <c r="K37" s="458"/>
      <c r="L37" s="41">
        <f>L35-L36</f>
        <v>0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0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59" t="s">
        <v>21</v>
      </c>
      <c r="K39" s="460"/>
      <c r="L39" s="43">
        <f>L37+L38</f>
        <v>0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46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571</v>
      </c>
      <c r="J10" s="24" t="s">
        <v>27</v>
      </c>
      <c r="K10" s="493">
        <v>202411528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Tim Sum                                             Blk 511 Canberra Road, #01-01 Sembawang Mart, Singapore 750511</v>
      </c>
      <c r="G11" s="481"/>
      <c r="H11" s="482"/>
      <c r="J11" s="26" t="s">
        <v>9</v>
      </c>
      <c r="K11" s="495">
        <v>45622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2227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3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3</v>
      </c>
      <c r="H18" s="186" t="str">
        <f>VLOOKUP(C18,'Sales Master'!$B$3:$F$2481,5,0)</f>
        <v>(1L x 12bag)/箱</v>
      </c>
      <c r="I18" s="497" t="str">
        <f>VLOOKUP(C18,'Sales Master'!$B$3:$E$2481,4,0)</f>
        <v>Kara UHT</v>
      </c>
      <c r="J18" s="497"/>
      <c r="K18" s="30">
        <f>VLOOKUP(C18,'Sales Master'!B$3:J$530,9,0)</f>
        <v>42</v>
      </c>
      <c r="L18" s="64">
        <f>K18*G18</f>
        <v>126</v>
      </c>
      <c r="M18" s="65"/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18.600000000000009</v>
      </c>
    </row>
    <row r="19" spans="2:23" ht="20.149999999999999" customHeight="1" x14ac:dyDescent="0.45">
      <c r="B19" s="29"/>
      <c r="C19" s="212"/>
      <c r="D19" s="461"/>
      <c r="E19" s="461"/>
      <c r="F19" s="461"/>
      <c r="G19" s="17"/>
      <c r="H19" s="186"/>
      <c r="I19" s="497"/>
      <c r="J19" s="497"/>
      <c r="K19" s="30"/>
      <c r="L19" s="64"/>
      <c r="M19" s="65"/>
      <c r="N19" s="145"/>
      <c r="O19" s="145"/>
      <c r="P19" s="145"/>
      <c r="R19" s="19">
        <v>1</v>
      </c>
      <c r="S19" s="19" t="s">
        <v>386</v>
      </c>
      <c r="T19" s="19" t="s">
        <v>452</v>
      </c>
      <c r="V19" s="19">
        <v>26</v>
      </c>
      <c r="W19" s="19">
        <v>26</v>
      </c>
    </row>
    <row r="20" spans="2:23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M20" s="65"/>
      <c r="N20" s="145"/>
      <c r="O20" s="145"/>
      <c r="P20" s="145"/>
      <c r="R20" s="19">
        <v>1</v>
      </c>
      <c r="S20" s="19" t="s">
        <v>386</v>
      </c>
      <c r="T20" s="19" t="s">
        <v>450</v>
      </c>
      <c r="V20" s="19">
        <v>32</v>
      </c>
      <c r="W20" s="19">
        <v>32</v>
      </c>
    </row>
    <row r="21" spans="2:23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  <c r="R21" s="19">
        <v>1</v>
      </c>
      <c r="S21" s="19" t="s">
        <v>34</v>
      </c>
      <c r="T21" s="19" t="s">
        <v>93</v>
      </c>
      <c r="V21" s="19">
        <v>12</v>
      </c>
      <c r="W21" s="19">
        <v>12</v>
      </c>
    </row>
    <row r="22" spans="2:23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  <c r="R22" s="19">
        <v>2</v>
      </c>
      <c r="S22" s="19" t="s">
        <v>54</v>
      </c>
      <c r="T22" s="19" t="s">
        <v>347</v>
      </c>
      <c r="V22" s="19">
        <v>9</v>
      </c>
      <c r="W22" s="19">
        <v>18</v>
      </c>
    </row>
    <row r="23" spans="2:23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62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23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126</v>
      </c>
      <c r="M31" s="63">
        <f>SUM(P18:P29)-L31*0.02</f>
        <v>16.080000000000009</v>
      </c>
      <c r="N31" s="133">
        <f>M31/L31</f>
        <v>0.12761904761904769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126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11.34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137.34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47"/>
  <sheetViews>
    <sheetView topLeftCell="A19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93">
        <v>202501089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@WOODLEIGH - DRINK (STALL: #07)               11, Bidadari Drive #B1-09/10 The Woodleigh Mall Singapore 367803                                   </v>
      </c>
      <c r="G11" s="481"/>
      <c r="H11" s="482"/>
      <c r="J11" s="26" t="s">
        <v>9</v>
      </c>
      <c r="K11" s="511">
        <v>45661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 t="s">
        <v>1307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93" t="s">
        <v>2135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2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13</v>
      </c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 t="s">
        <v>829</v>
      </c>
      <c r="D19" s="461" t="str">
        <f>VLOOKUP(C19,'Sales Master'!B$3:D$530,2,)</f>
        <v>Atap Seeds in Syrup 亚嗒子</v>
      </c>
      <c r="E19" s="461"/>
      <c r="F19" s="461"/>
      <c r="G19" s="76">
        <v>1</v>
      </c>
      <c r="H19" s="247" t="str">
        <f>VLOOKUP(C19,'Sales Master'!$B$3:$F$2413,5,0)</f>
        <v>NW(1.6:0.6) 2.2kg/ Bag包</v>
      </c>
      <c r="I19" s="462" t="str">
        <f>VLOOKUP(C19,'Sales Master'!$B$3:$E$2413,4,0)</f>
        <v>DO!</v>
      </c>
      <c r="J19" s="462"/>
      <c r="K19" s="83">
        <f>VLOOKUP(C19,'Sales Master'!B$3:I$530,8,0)</f>
        <v>10</v>
      </c>
      <c r="L19" s="84">
        <f>K19*G19</f>
        <v>10</v>
      </c>
      <c r="R19" s="93"/>
    </row>
    <row r="20" spans="2:22" ht="20.149999999999999" customHeight="1" x14ac:dyDescent="0.45">
      <c r="B20" s="29"/>
      <c r="C20" s="212" t="s">
        <v>834</v>
      </c>
      <c r="D20" s="461" t="str">
        <f>VLOOKUP(C20,'Sales Master'!B$3:D$530,2,)</f>
        <v>GingKo Nut (Peel off) 白果仁</v>
      </c>
      <c r="E20" s="461"/>
      <c r="F20" s="461"/>
      <c r="G20" s="76">
        <v>3</v>
      </c>
      <c r="H20" s="247" t="str">
        <f>VLOOKUP(C20,'Sales Master'!$B$3:$F$2413,5,0)</f>
        <v>1 KG (500 GM X 2)</v>
      </c>
      <c r="I20" s="462" t="str">
        <f>VLOOKUP(C20,'Sales Master'!$B$3:$E$2413,4,0)</f>
        <v>-</v>
      </c>
      <c r="J20" s="462"/>
      <c r="K20" s="83">
        <f>VLOOKUP(C20,'Sales Master'!B$3:I$530,8,0)</f>
        <v>4.5</v>
      </c>
      <c r="L20" s="84">
        <f>K20*G20</f>
        <v>13.5</v>
      </c>
      <c r="R20" s="93"/>
    </row>
    <row r="21" spans="2:22" ht="20.149999999999999" customHeight="1" x14ac:dyDescent="0.45">
      <c r="B21" s="29"/>
      <c r="C21" s="212" t="s">
        <v>849</v>
      </c>
      <c r="D21" s="461" t="str">
        <f>VLOOKUP(C21,'Sales Master'!B$3:D$530,2,)</f>
        <v>Green Bean 绿豆</v>
      </c>
      <c r="E21" s="461"/>
      <c r="F21" s="461"/>
      <c r="G21" s="76">
        <v>1</v>
      </c>
      <c r="H21" s="247" t="str">
        <f>VLOOKUP(C21,'Sales Master'!$B$3:$F$2413,5,0)</f>
        <v>5 KG</v>
      </c>
      <c r="I21" s="462" t="str">
        <f>VLOOKUP(C21,'Sales Master'!$B$3:$E$2413,4,0)</f>
        <v>-</v>
      </c>
      <c r="J21" s="462"/>
      <c r="K21" s="83">
        <f>VLOOKUP(C21,'Sales Master'!B$3:I$530,8,0)</f>
        <v>13</v>
      </c>
      <c r="L21" s="84">
        <f t="shared" ref="L21" si="1">K21*G21</f>
        <v>13</v>
      </c>
      <c r="R21" s="93"/>
    </row>
    <row r="22" spans="2:22" ht="20.149999999999999" customHeight="1" x14ac:dyDescent="0.45">
      <c r="B22" s="29"/>
      <c r="C22" s="212" t="s">
        <v>877</v>
      </c>
      <c r="D22" s="461" t="str">
        <f>VLOOKUP(C22,'Sales Master'!B$3:D$530,2,)</f>
        <v>Small Sago 小丸</v>
      </c>
      <c r="E22" s="461"/>
      <c r="F22" s="461"/>
      <c r="G22" s="76">
        <v>1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10</v>
      </c>
      <c r="L22" s="84">
        <f>K22*G22</f>
        <v>10</v>
      </c>
      <c r="R22" s="93"/>
    </row>
    <row r="23" spans="2:22" ht="20.149999999999999" customHeight="1" x14ac:dyDescent="0.45">
      <c r="B23" s="29"/>
      <c r="C23" s="212" t="s">
        <v>880</v>
      </c>
      <c r="D23" s="461" t="str">
        <f>VLOOKUP(C23,'Sales Master'!B$3:D$530,2,)</f>
        <v>Dried Longan 龙眼干</v>
      </c>
      <c r="E23" s="461"/>
      <c r="F23" s="461"/>
      <c r="G23" s="76">
        <v>2</v>
      </c>
      <c r="H23" s="247" t="str">
        <f>VLOOKUP(C23,'Sales Master'!$B$3:$F$2413,5,0)</f>
        <v>1 kg</v>
      </c>
      <c r="I23" s="462" t="str">
        <f>VLOOKUP(C23,'Sales Master'!$B$3:$E$2413,4,0)</f>
        <v>TL</v>
      </c>
      <c r="J23" s="462"/>
      <c r="K23" s="83">
        <f>VLOOKUP(C23,'Sales Master'!B$3:I$530,8,0)</f>
        <v>13</v>
      </c>
      <c r="L23" s="84">
        <f t="shared" ref="L23" si="2">K23*G23</f>
        <v>26</v>
      </c>
      <c r="R23" s="9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247"/>
      <c r="I24" s="462"/>
      <c r="J24" s="462"/>
      <c r="K24" s="83"/>
      <c r="L24" s="84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247"/>
      <c r="I25" s="462"/>
      <c r="J25" s="462"/>
      <c r="K25" s="83"/>
      <c r="L25" s="84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247"/>
      <c r="I26" s="462"/>
      <c r="J26" s="462"/>
      <c r="K26" s="83"/>
      <c r="L26" s="84"/>
      <c r="R26" s="93"/>
    </row>
    <row r="27" spans="2:22" ht="20.149999999999999" customHeight="1" x14ac:dyDescent="0.45">
      <c r="B27" s="29"/>
      <c r="C27" s="212"/>
      <c r="D27" s="461"/>
      <c r="E27" s="461"/>
      <c r="F27" s="461"/>
      <c r="G27" s="76"/>
      <c r="H27" s="247"/>
      <c r="I27" s="462"/>
      <c r="J27" s="462"/>
      <c r="K27" s="83"/>
      <c r="L27" s="84"/>
      <c r="R27" s="93"/>
    </row>
    <row r="28" spans="2:22" ht="20.149999999999999" customHeight="1" x14ac:dyDescent="0.45">
      <c r="B28" s="29"/>
      <c r="C28" s="212"/>
      <c r="D28" s="461"/>
      <c r="E28" s="461"/>
      <c r="F28" s="461"/>
      <c r="G28" s="76"/>
      <c r="H28" s="247"/>
      <c r="I28" s="462"/>
      <c r="J28" s="462"/>
      <c r="K28" s="83"/>
      <c r="L28" s="84"/>
      <c r="R28" s="93"/>
    </row>
    <row r="29" spans="2:22" ht="20.149999999999999" customHeight="1" x14ac:dyDescent="0.45">
      <c r="B29" s="29"/>
      <c r="C29" s="212"/>
      <c r="D29" s="461"/>
      <c r="E29" s="461"/>
      <c r="F29" s="461"/>
      <c r="G29" s="76"/>
      <c r="H29" s="247"/>
      <c r="I29" s="462"/>
      <c r="J29" s="462"/>
      <c r="K29" s="83"/>
      <c r="L29" s="84"/>
      <c r="R29" s="93"/>
    </row>
    <row r="30" spans="2:22" ht="20.149999999999999" customHeight="1" x14ac:dyDescent="0.45">
      <c r="B30" s="29"/>
      <c r="C30" s="212"/>
      <c r="G30" s="76"/>
      <c r="H30" s="247"/>
      <c r="I30" s="209"/>
      <c r="J30" s="209"/>
      <c r="K30" s="83"/>
      <c r="L30" s="84"/>
      <c r="N30" s="145"/>
      <c r="O30" s="145"/>
      <c r="P30" s="145"/>
      <c r="Q30" s="170"/>
      <c r="R30" s="93"/>
    </row>
    <row r="31" spans="2:22" ht="20.149999999999999" customHeight="1" x14ac:dyDescent="0.45">
      <c r="B31" s="29"/>
      <c r="C31" s="212"/>
      <c r="G31" s="76"/>
      <c r="H31" s="247"/>
      <c r="I31" s="209"/>
      <c r="J31" s="209"/>
      <c r="K31" s="83"/>
      <c r="L31" s="84"/>
      <c r="N31" s="145"/>
      <c r="O31" s="145"/>
      <c r="P31" s="145"/>
      <c r="Q31" s="170"/>
      <c r="R31" s="93"/>
    </row>
    <row r="32" spans="2:22" ht="20.149999999999999" customHeight="1" x14ac:dyDescent="0.45">
      <c r="B32" s="29"/>
      <c r="C32" s="212"/>
      <c r="G32" s="76"/>
      <c r="H32" s="183"/>
      <c r="I32" s="209"/>
      <c r="J32" s="209"/>
      <c r="K32" s="83"/>
      <c r="L32" s="84"/>
      <c r="N32" s="145"/>
      <c r="O32" s="145"/>
      <c r="P32" s="145"/>
      <c r="Q32" s="170"/>
      <c r="R32" s="93"/>
    </row>
    <row r="33" spans="2:14" ht="20.149999999999999" customHeight="1" x14ac:dyDescent="0.45">
      <c r="B33" s="104"/>
      <c r="C33" s="105"/>
      <c r="D33" s="454"/>
      <c r="E33" s="454"/>
      <c r="F33" s="454"/>
      <c r="G33" s="105"/>
      <c r="H33" s="105"/>
      <c r="I33" s="124"/>
      <c r="J33" s="124"/>
      <c r="K33" s="108"/>
      <c r="L33" s="12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SUM(L18:L34)</f>
        <v>85.5</v>
      </c>
      <c r="M35" s="63">
        <f>SUM(P18:P33)</f>
        <v>0</v>
      </c>
      <c r="N35" s="133">
        <f>M35/L35</f>
        <v>0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85.5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7.6949999999999994</v>
      </c>
    </row>
    <row r="39" spans="2:14" ht="20.149999999999999" customHeight="1" thickBot="1" x14ac:dyDescent="0.5">
      <c r="B39" s="10" t="s">
        <v>700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93.194999999999993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690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3">
    <mergeCell ref="J39:K39"/>
    <mergeCell ref="J35:K35"/>
    <mergeCell ref="D33:F33"/>
    <mergeCell ref="J37:K37"/>
    <mergeCell ref="D26:F26"/>
    <mergeCell ref="I26:J26"/>
    <mergeCell ref="D29:F29"/>
    <mergeCell ref="I29:J29"/>
    <mergeCell ref="D21:F21"/>
    <mergeCell ref="I21:J21"/>
    <mergeCell ref="D28:F28"/>
    <mergeCell ref="I28:J28"/>
    <mergeCell ref="D27:F27"/>
    <mergeCell ref="I27:J27"/>
    <mergeCell ref="D17:F17"/>
    <mergeCell ref="D25:F25"/>
    <mergeCell ref="D24:F24"/>
    <mergeCell ref="D18:F18"/>
    <mergeCell ref="I17:J17"/>
    <mergeCell ref="D19:F19"/>
    <mergeCell ref="I19:J19"/>
    <mergeCell ref="D20:F20"/>
    <mergeCell ref="I18:J18"/>
    <mergeCell ref="D23:F23"/>
    <mergeCell ref="I24:J24"/>
    <mergeCell ref="I23:J23"/>
    <mergeCell ref="I20:J20"/>
    <mergeCell ref="I25:J25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:C25 C19:C21 C27:C28">
    <cfRule type="duplicateValues" dxfId="227" priority="2731"/>
  </conditionalFormatting>
  <conditionalFormatting sqref="N13">
    <cfRule type="duplicateValues" dxfId="226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11" workbookViewId="0">
      <selection activeCell="H18" sqref="H18:L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574</v>
      </c>
      <c r="J10" s="68" t="s">
        <v>27</v>
      </c>
      <c r="K10" s="493">
        <v>202301040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IVY LIM 94881981                                                          50-A Lorong Marican Singapore 417233</v>
      </c>
      <c r="G11" s="481"/>
      <c r="H11" s="482"/>
      <c r="J11" s="69" t="s">
        <v>9</v>
      </c>
      <c r="K11" s="495">
        <v>44930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69" t="s">
        <v>10</v>
      </c>
      <c r="K13" s="463" t="s">
        <v>442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70" t="s">
        <v>11</v>
      </c>
      <c r="K15" s="468"/>
      <c r="L15" s="469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17" t="s">
        <v>769</v>
      </c>
      <c r="D18" s="461" t="str">
        <f>VLOOKUP(C18,'Sales Master'!B$3:D$530,2,)</f>
        <v>Jelly Powder 文头雪粉 (Carrageenan)</v>
      </c>
      <c r="E18" s="461"/>
      <c r="F18" s="461"/>
      <c r="G18" s="17">
        <v>2</v>
      </c>
      <c r="H18" s="188" t="str">
        <f>VLOOKUP(C18,'Sales Master'!$B$3:$F$530,5,0)</f>
        <v>42gm x 10PKT/Bag</v>
      </c>
      <c r="I18" s="497" t="str">
        <f>VLOOKUP(C18,'Sales Master'!$B$3:$E$530,4,0)</f>
        <v>500/4000</v>
      </c>
      <c r="J18" s="497"/>
      <c r="K18" s="83">
        <f>VLOOKUP(C18,'Sales Master'!$B$3:$BK$2395,62,0)</f>
        <v>30</v>
      </c>
      <c r="L18" s="64">
        <f>K18*G18</f>
        <v>60</v>
      </c>
      <c r="M18" s="65"/>
      <c r="N18" s="145">
        <f>VLOOKUP(C18,'Sales Master'!$B$3:$DA$2272,104,0)</f>
        <v>1.9530000000000003</v>
      </c>
      <c r="O18" s="145">
        <f>K18-N18</f>
        <v>28.047000000000001</v>
      </c>
      <c r="P18" s="145">
        <f>O18*G18</f>
        <v>56.094000000000001</v>
      </c>
      <c r="R18" s="19">
        <v>2</v>
      </c>
      <c r="S18" s="19" t="s">
        <v>218</v>
      </c>
      <c r="T18" s="19" t="s">
        <v>450</v>
      </c>
      <c r="V18" s="19">
        <v>32</v>
      </c>
    </row>
    <row r="19" spans="2:22" ht="20.149999999999999" customHeight="1" x14ac:dyDescent="0.45">
      <c r="B19" s="29"/>
      <c r="C19" s="17" t="s">
        <v>792</v>
      </c>
      <c r="D19" s="461" t="str">
        <f>VLOOKUP(C19,'Sales Master'!B$3:D$530,2,)</f>
        <v>Herbal Jelly Powder 龟苓膏粉</v>
      </c>
      <c r="E19" s="461"/>
      <c r="F19" s="461"/>
      <c r="G19" s="17">
        <v>2</v>
      </c>
      <c r="H19" s="186" t="str">
        <f>VLOOKUP(C19,'Sales Master'!$B$3:$F$530,5,0)</f>
        <v>500 GM/BAG</v>
      </c>
      <c r="I19" s="497" t="str">
        <f>VLOOKUP(C19,'Sales Master'!$B$3:$E$530,4,0)</f>
        <v>-</v>
      </c>
      <c r="J19" s="497"/>
      <c r="K19" s="83">
        <f>VLOOKUP(C19,'Sales Master'!$B$3:$BK$2395,62,0)</f>
        <v>10</v>
      </c>
      <c r="L19" s="64">
        <f>K19*G19</f>
        <v>20</v>
      </c>
      <c r="N19" s="145">
        <f>VLOOKUP(C19,'Sales Master'!$B$3:$DA$2272,104,0)</f>
        <v>3.9</v>
      </c>
      <c r="O19" s="145">
        <f>K19-N19</f>
        <v>6.1</v>
      </c>
      <c r="P19" s="145">
        <f>O19*G19</f>
        <v>12.2</v>
      </c>
      <c r="R19" s="19">
        <v>2</v>
      </c>
      <c r="S19" s="19" t="s">
        <v>345</v>
      </c>
    </row>
    <row r="20" spans="2:22" ht="20.149999999999999" customHeight="1" x14ac:dyDescent="0.45">
      <c r="B20" s="29"/>
      <c r="C20" s="17" t="s">
        <v>828</v>
      </c>
      <c r="D20" s="461" t="str">
        <f>VLOOKUP(C20,'Sales Master'!B$3:D$530,2,)</f>
        <v>Atap Seeds in Syrup 亚嗒子</v>
      </c>
      <c r="E20" s="461"/>
      <c r="F20" s="461"/>
      <c r="G20" s="17">
        <v>1</v>
      </c>
      <c r="H20" s="186" t="str">
        <f>VLOOKUP(C20,'Sales Master'!$B$3:$F$530,5,0)</f>
        <v>NW(2.1:0.9) 3kg/ Bag包</v>
      </c>
      <c r="I20" s="497" t="str">
        <f>VLOOKUP(C20,'Sales Master'!$B$3:$E$530,4,0)</f>
        <v>DO!</v>
      </c>
      <c r="J20" s="497"/>
      <c r="K20" s="83">
        <f>VLOOKUP(C20,'Sales Master'!$B$3:$BK$2395,62,0)</f>
        <v>13</v>
      </c>
      <c r="L20" s="64">
        <f>K20*G20</f>
        <v>13</v>
      </c>
      <c r="M20" s="65"/>
      <c r="N20" s="145">
        <f>VLOOKUP(C20,'Sales Master'!$B$3:$DA$2272,104,0)</f>
        <v>9.6</v>
      </c>
      <c r="O20" s="145">
        <f>K20-N20</f>
        <v>3.4000000000000004</v>
      </c>
      <c r="P20" s="145">
        <f>O20*G20</f>
        <v>3.4000000000000004</v>
      </c>
      <c r="R20" s="19">
        <v>1</v>
      </c>
      <c r="S20" s="19" t="s">
        <v>417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231"/>
      <c r="L21" s="64"/>
      <c r="M21" s="65"/>
      <c r="R21" s="19">
        <v>10</v>
      </c>
      <c r="S21" s="19" t="s">
        <v>215</v>
      </c>
      <c r="T21" s="19" t="s">
        <v>440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491"/>
      <c r="J22" s="491"/>
      <c r="K22" s="231"/>
      <c r="L22" s="64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534" t="s">
        <v>1453</v>
      </c>
      <c r="J23" s="534"/>
      <c r="K23" s="534"/>
      <c r="L23" s="64">
        <v>20</v>
      </c>
      <c r="M23" s="65"/>
      <c r="R23" s="19">
        <v>1</v>
      </c>
      <c r="S23" s="19" t="s">
        <v>34</v>
      </c>
      <c r="T23" s="19" t="s">
        <v>470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83"/>
      <c r="L24" s="64"/>
      <c r="M24" s="65"/>
      <c r="R24" s="19">
        <v>1</v>
      </c>
      <c r="S24" s="19" t="s">
        <v>352</v>
      </c>
      <c r="T24" s="19" t="s">
        <v>351</v>
      </c>
    </row>
    <row r="25" spans="2:22" ht="20.149999999999999" customHeight="1" x14ac:dyDescent="0.45">
      <c r="B25" s="29"/>
      <c r="C25" s="18" t="s">
        <v>1244</v>
      </c>
      <c r="G25" s="17"/>
      <c r="H25" s="56"/>
      <c r="I25" s="85"/>
      <c r="J25" s="85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47" t="s">
        <v>1451</v>
      </c>
      <c r="G26" s="17"/>
      <c r="H26" s="56"/>
      <c r="I26" s="85"/>
      <c r="J26" s="85"/>
      <c r="K26" s="30"/>
      <c r="L26" s="92"/>
      <c r="M26" s="65"/>
    </row>
    <row r="27" spans="2:22" ht="20.149999999999999" customHeight="1" x14ac:dyDescent="0.45">
      <c r="B27" s="29"/>
      <c r="C27" s="147" t="s">
        <v>1452</v>
      </c>
      <c r="G27" s="17"/>
      <c r="H27" s="56"/>
      <c r="I27" s="85"/>
      <c r="J27" s="85"/>
      <c r="K27" s="30"/>
      <c r="L27" s="92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92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91"/>
      <c r="J30" s="491"/>
      <c r="K30" s="30"/>
      <c r="L30" s="92"/>
    </row>
    <row r="31" spans="2:22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527"/>
      <c r="J31" s="527"/>
      <c r="K31" s="34"/>
      <c r="L31" s="75"/>
    </row>
    <row r="32" spans="2:22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55" t="s">
        <v>13</v>
      </c>
      <c r="K33" s="456"/>
      <c r="L33" s="38">
        <f>SUM(L18:L32)</f>
        <v>113</v>
      </c>
      <c r="M33" s="63">
        <f>SUM(P18:P31)</f>
        <v>71.694000000000003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L36</f>
        <v>9.4166666666666661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57" t="s">
        <v>19</v>
      </c>
      <c r="K35" s="458"/>
      <c r="L35" s="41">
        <f>L33/108*100</f>
        <v>104.62962962962963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9.4166666666666661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59" t="s">
        <v>21</v>
      </c>
      <c r="K37" s="460"/>
      <c r="L37" s="43">
        <f>L35+L36</f>
        <v>114.0462962962963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46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D24:F24"/>
    <mergeCell ref="I24:J24"/>
    <mergeCell ref="I23:K23"/>
    <mergeCell ref="D29:F29"/>
    <mergeCell ref="I29:J29"/>
    <mergeCell ref="D28:F28"/>
    <mergeCell ref="I28:J28"/>
    <mergeCell ref="J35:K35"/>
    <mergeCell ref="J37:K37"/>
    <mergeCell ref="D30:F30"/>
    <mergeCell ref="I30:J30"/>
    <mergeCell ref="D31:F31"/>
    <mergeCell ref="I31:J31"/>
    <mergeCell ref="J33:K33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6"/>
  <sheetViews>
    <sheetView topLeftCell="A4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577</v>
      </c>
      <c r="J10" s="24" t="s">
        <v>27</v>
      </c>
      <c r="K10" s="493">
        <v>202501209</v>
      </c>
      <c r="L10" s="494"/>
    </row>
    <row r="11" spans="2:12" ht="20.149999999999999" customHeight="1" x14ac:dyDescent="0.45">
      <c r="B11" s="477" t="s">
        <v>578</v>
      </c>
      <c r="C11" s="478"/>
      <c r="D11" s="479"/>
      <c r="E11" s="25"/>
      <c r="F11" s="480" t="str">
        <f>VLOOKUP(H10,'Delivery Location'!A$4:N$460,2,0)</f>
        <v>Fine Food @The South Spine                    50, Nanyang Avenue South Spine Food Court Canteen B, Singapore 639798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374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375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376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65" t="s">
        <v>377</v>
      </c>
      <c r="C15" s="566"/>
      <c r="D15" s="567"/>
      <c r="E15" s="21"/>
      <c r="F15" s="465"/>
      <c r="G15" s="466"/>
      <c r="H15" s="467"/>
      <c r="J15" s="27" t="s">
        <v>11</v>
      </c>
      <c r="K15" s="468" t="s">
        <v>1477</v>
      </c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727</v>
      </c>
      <c r="D18" s="461" t="str">
        <f>VLOOKUP(C18,'Sales Master'!B$3:D$530,2,)</f>
        <v>Mango Puree 芒果酱</v>
      </c>
      <c r="E18" s="461"/>
      <c r="F18" s="461"/>
      <c r="G18" s="76">
        <v>10</v>
      </c>
      <c r="H18" s="186" t="str">
        <f>VLOOKUP(C18,'Sales Master'!$B$3:$F$2481,5,0)</f>
        <v>1 KG/ Box盒</v>
      </c>
      <c r="I18" s="516" t="str">
        <f>VLOOKUP(C18,'Sales Master'!$B$3:$E$2481,4,0)</f>
        <v>DO!</v>
      </c>
      <c r="J18" s="516"/>
      <c r="K18" s="80">
        <f>VLOOKUP(C18,'Sales Master'!B$3:Q$2294,16,0)</f>
        <v>8</v>
      </c>
      <c r="L18" s="64">
        <f>K18*G18</f>
        <v>80</v>
      </c>
      <c r="M18" s="65"/>
      <c r="N18" s="145">
        <f>VLOOKUP(C18,'Sales Master'!$B$3:$DA$2272,104,0)</f>
        <v>2.15</v>
      </c>
      <c r="O18" s="145">
        <f>K18-N18</f>
        <v>5.85</v>
      </c>
      <c r="P18" s="145">
        <f>O18*G18</f>
        <v>58.5</v>
      </c>
    </row>
    <row r="19" spans="2:16" ht="20.149999999999999" customHeight="1" x14ac:dyDescent="0.45">
      <c r="B19" s="29"/>
      <c r="C19" s="212" t="s">
        <v>836</v>
      </c>
      <c r="D19" s="461" t="str">
        <f>VLOOKUP(C19,'Sales Master'!B$3:D$530,2,)</f>
        <v>Red Bean 红豆 (5.5 mm)</v>
      </c>
      <c r="E19" s="461"/>
      <c r="F19" s="461"/>
      <c r="G19" s="76">
        <v>1</v>
      </c>
      <c r="H19" s="186" t="str">
        <f>VLOOKUP(C19,'Sales Master'!$B$3:$F$2481,5,0)</f>
        <v>5 KG</v>
      </c>
      <c r="I19" s="516" t="str">
        <f>VLOOKUP(C19,'Sales Master'!$B$3:$E$2481,4,0)</f>
        <v>-</v>
      </c>
      <c r="J19" s="516"/>
      <c r="K19" s="80">
        <f>VLOOKUP(C19,'Sales Master'!B$3:Q$2294,16,0)</f>
        <v>19.5</v>
      </c>
      <c r="L19" s="64">
        <f t="shared" ref="L19:L20" si="0">K19*G19</f>
        <v>19.5</v>
      </c>
      <c r="M19" s="65"/>
      <c r="N19" s="145">
        <f>VLOOKUP(C19,'Sales Master'!$B$3:$DA$2272,104,0)</f>
        <v>12.5</v>
      </c>
      <c r="O19" s="145">
        <f t="shared" ref="O19:O20" si="1">K19-N19</f>
        <v>7</v>
      </c>
      <c r="P19" s="145">
        <f t="shared" ref="P19:P20" si="2">O19*G19</f>
        <v>7</v>
      </c>
    </row>
    <row r="20" spans="2:16" ht="20.149999999999999" customHeight="1" x14ac:dyDescent="0.45">
      <c r="B20" s="29"/>
      <c r="C20" s="212" t="s">
        <v>849</v>
      </c>
      <c r="D20" s="461" t="str">
        <f>VLOOKUP(C20,'Sales Master'!B$3:D$530,2,)</f>
        <v>Green Bean 绿豆</v>
      </c>
      <c r="E20" s="461"/>
      <c r="F20" s="461"/>
      <c r="G20" s="76">
        <v>1</v>
      </c>
      <c r="H20" s="186" t="str">
        <f>VLOOKUP(C20,'Sales Master'!$B$3:$F$2481,5,0)</f>
        <v>5 KG</v>
      </c>
      <c r="I20" s="516" t="str">
        <f>VLOOKUP(C20,'Sales Master'!$B$3:$E$2481,4,0)</f>
        <v>-</v>
      </c>
      <c r="J20" s="516"/>
      <c r="K20" s="80">
        <f>VLOOKUP(C20,'Sales Master'!B$3:Q$2294,16,0)</f>
        <v>14</v>
      </c>
      <c r="L20" s="64">
        <f t="shared" si="0"/>
        <v>14</v>
      </c>
      <c r="M20" s="65"/>
      <c r="N20" s="145">
        <f>VLOOKUP(C20,'Sales Master'!$B$3:$DA$2272,104,0)</f>
        <v>8.75</v>
      </c>
      <c r="O20" s="145">
        <f t="shared" si="1"/>
        <v>5.25</v>
      </c>
      <c r="P20" s="145">
        <f t="shared" si="2"/>
        <v>5.25</v>
      </c>
    </row>
    <row r="21" spans="2:16" ht="20.149999999999999" customHeight="1" x14ac:dyDescent="0.45">
      <c r="B21" s="29"/>
      <c r="C21" s="212" t="s">
        <v>861</v>
      </c>
      <c r="D21" s="461" t="str">
        <f>VLOOKUP(C21,'Sales Master'!B$3:D$530,2,)</f>
        <v>Black Glutinous Rice 黑糯米</v>
      </c>
      <c r="E21" s="461"/>
      <c r="F21" s="461"/>
      <c r="G21" s="76">
        <v>1</v>
      </c>
      <c r="H21" s="186" t="str">
        <f>VLOOKUP(C21,'Sales Master'!$B$3:$F$2481,5,0)</f>
        <v>5 KGS</v>
      </c>
      <c r="I21" s="516" t="str">
        <f>VLOOKUP(C21,'Sales Master'!$B$3:$E$2481,4,0)</f>
        <v>-</v>
      </c>
      <c r="J21" s="516"/>
      <c r="K21" s="80">
        <f>VLOOKUP(C21,'Sales Master'!B$3:Q$2294,16,0)</f>
        <v>18</v>
      </c>
      <c r="L21" s="64">
        <f t="shared" ref="L21:L22" si="3">K21*G21</f>
        <v>18</v>
      </c>
      <c r="M21" s="65"/>
      <c r="N21" s="145">
        <f>VLOOKUP(C21,'Sales Master'!$B$3:$DA$2272,104,0)</f>
        <v>12</v>
      </c>
      <c r="O21" s="145">
        <f t="shared" ref="O21:O22" si="4">K21-N21</f>
        <v>6</v>
      </c>
      <c r="P21" s="145">
        <f t="shared" ref="P21:P22" si="5">O21*G21</f>
        <v>6</v>
      </c>
    </row>
    <row r="22" spans="2:16" ht="20.149999999999999" customHeight="1" x14ac:dyDescent="0.45">
      <c r="B22" s="29"/>
      <c r="C22" s="244" t="s">
        <v>900</v>
      </c>
      <c r="D22" s="461" t="str">
        <f>VLOOKUP(C22,'Sales Master'!B$3:D$530,2,)</f>
        <v>Bean Curd Sheet 腐竹</v>
      </c>
      <c r="E22" s="461"/>
      <c r="F22" s="461"/>
      <c r="G22" s="76">
        <v>10</v>
      </c>
      <c r="H22" s="186" t="str">
        <f>VLOOKUP(C22,'Sales Master'!$B$3:$F$2481,5,0)</f>
        <v xml:space="preserve">150g/pkt </v>
      </c>
      <c r="I22" s="516" t="str">
        <f>VLOOKUP(C22,'Sales Master'!$B$3:$E$2481,4,0)</f>
        <v>生记</v>
      </c>
      <c r="J22" s="516"/>
      <c r="K22" s="80">
        <f>VLOOKUP(C22,'Sales Master'!B$3:Q$2294,16,0)</f>
        <v>3.2</v>
      </c>
      <c r="L22" s="64">
        <f t="shared" si="3"/>
        <v>32</v>
      </c>
      <c r="M22" s="65"/>
      <c r="N22" s="145">
        <f>VLOOKUP(C22,'Sales Master'!$B$3:$DA$2272,104,0)</f>
        <v>2.5</v>
      </c>
      <c r="O22" s="145">
        <f t="shared" si="4"/>
        <v>0.70000000000000018</v>
      </c>
      <c r="P22" s="145">
        <f t="shared" si="5"/>
        <v>7.0000000000000018</v>
      </c>
    </row>
    <row r="23" spans="2:16" ht="20.149999999999999" customHeight="1" x14ac:dyDescent="0.45">
      <c r="B23" s="29"/>
      <c r="C23" s="244"/>
      <c r="D23" s="461"/>
      <c r="E23" s="461"/>
      <c r="F23" s="461"/>
      <c r="G23" s="76"/>
      <c r="H23" s="186"/>
      <c r="I23" s="516"/>
      <c r="J23" s="516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95"/>
      <c r="G24" s="76"/>
      <c r="H24" s="186"/>
      <c r="I24" s="186"/>
      <c r="J24" s="186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5"/>
      <c r="G25" s="76"/>
      <c r="H25" s="186"/>
      <c r="I25" s="186"/>
      <c r="J25" s="186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06"/>
      <c r="D26" s="65"/>
      <c r="E26" s="65"/>
      <c r="F26" s="65"/>
      <c r="G26" s="65"/>
      <c r="H26" s="196"/>
      <c r="I26" s="196"/>
      <c r="J26" s="196"/>
      <c r="K26" s="207"/>
      <c r="L26" s="64"/>
      <c r="M26" s="65"/>
    </row>
    <row r="27" spans="2:16" ht="20.149999999999999" customHeight="1" x14ac:dyDescent="0.45">
      <c r="B27" s="29"/>
      <c r="C27" s="18" t="s">
        <v>1244</v>
      </c>
      <c r="D27" s="461"/>
      <c r="E27" s="461"/>
      <c r="F27" s="461"/>
      <c r="G27" s="76"/>
      <c r="H27" s="56"/>
      <c r="I27" s="491"/>
      <c r="J27" s="491"/>
      <c r="K27" s="80"/>
      <c r="L27" s="64"/>
      <c r="M27" s="65"/>
    </row>
    <row r="28" spans="2:16" ht="20.149999999999999" customHeight="1" x14ac:dyDescent="0.45">
      <c r="B28" s="29"/>
      <c r="C28" s="147" t="s">
        <v>1383</v>
      </c>
      <c r="G28" s="76"/>
      <c r="H28" s="56"/>
      <c r="I28" s="85"/>
      <c r="J28" s="85"/>
      <c r="K28" s="80"/>
      <c r="L28" s="64"/>
      <c r="M28" s="65"/>
    </row>
    <row r="29" spans="2:16" ht="20.149999999999999" customHeight="1" x14ac:dyDescent="0.45">
      <c r="B29" s="29"/>
      <c r="C29" s="147" t="s">
        <v>1330</v>
      </c>
      <c r="G29" s="76"/>
      <c r="H29" s="56"/>
      <c r="I29" s="85"/>
      <c r="J29" s="85"/>
      <c r="K29" s="8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491"/>
      <c r="J30" s="491"/>
      <c r="K30" s="8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56"/>
      <c r="I31" s="491"/>
      <c r="J31" s="491"/>
      <c r="K31" s="80"/>
      <c r="L31" s="64"/>
    </row>
    <row r="32" spans="2:16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SUM(L17:L33)</f>
        <v>163.5</v>
      </c>
      <c r="M34" s="63">
        <f>SUM(P18:P33)</f>
        <v>83.75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163.5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14.715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178.215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30:F30"/>
    <mergeCell ref="I30:J30"/>
    <mergeCell ref="J34:K34"/>
    <mergeCell ref="D22:F22"/>
    <mergeCell ref="I22:J22"/>
    <mergeCell ref="D27:F27"/>
    <mergeCell ref="I27:J27"/>
    <mergeCell ref="D23:F23"/>
    <mergeCell ref="I23:J23"/>
    <mergeCell ref="J36:K36"/>
    <mergeCell ref="J38:K38"/>
    <mergeCell ref="D31:F31"/>
    <mergeCell ref="I31:J31"/>
    <mergeCell ref="D32:F32"/>
    <mergeCell ref="I32:J32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6" orientation="portrait" r:id="rId2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2E24-561F-4FAB-A0FC-97968E0D1CAA}">
  <sheetPr>
    <tabColor rgb="FFFFC000"/>
    <pageSetUpPr fitToPage="1"/>
  </sheetPr>
  <dimension ref="B1:V1048575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580</v>
      </c>
      <c r="J10" s="24" t="s">
        <v>27</v>
      </c>
      <c r="K10" s="493">
        <v>202409630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Parkway Parade @Dessert                       80 Marine Parade Road #B1-85        Singapore 449269                            </v>
      </c>
      <c r="G11" s="481"/>
      <c r="H11" s="482"/>
      <c r="J11" s="26" t="s">
        <v>9</v>
      </c>
      <c r="K11" s="495">
        <v>45563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1528</v>
      </c>
      <c r="D18" s="498" t="str">
        <f>VLOOKUP(C18,'Sales Master'!B$3:D$530,2,)</f>
        <v>Skinless Sweet Potato 去皮番薯</v>
      </c>
      <c r="E18" s="498"/>
      <c r="F18" s="498"/>
      <c r="G18" s="76">
        <v>3</v>
      </c>
      <c r="H18" s="183" t="str">
        <f>VLOOKUP(C18,'Sales Master'!$B$3:$F$2413,5,0)</f>
        <v>5 KG</v>
      </c>
      <c r="I18" s="462" t="str">
        <f>VLOOKUP(C18,'Sales Master'!$B$3:$E$2413,4,0)</f>
        <v>Malaysia</v>
      </c>
      <c r="J18" s="462"/>
      <c r="K18" s="83">
        <f>VLOOKUP(C18,'Sales Master'!B$3:I$530,8,0)</f>
        <v>16.5</v>
      </c>
      <c r="L18" s="84">
        <f>K18*G18</f>
        <v>49.5</v>
      </c>
      <c r="N18" s="145">
        <f>VLOOKUP(C18,'Sales Master'!$B$3:$DA$2272,104,0)</f>
        <v>9</v>
      </c>
      <c r="O18" s="145">
        <f>K18-N18</f>
        <v>7.5</v>
      </c>
      <c r="P18" s="145">
        <f>O18*G18</f>
        <v>22.5</v>
      </c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212"/>
      <c r="D20" s="492"/>
      <c r="E20" s="492"/>
      <c r="F20" s="492"/>
      <c r="G20" s="76"/>
      <c r="H20" s="183"/>
      <c r="I20" s="462"/>
      <c r="J20" s="46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454"/>
      <c r="E29" s="454"/>
      <c r="F29" s="45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49.5</v>
      </c>
      <c r="M31" s="63">
        <f>SUM(P18:P29)</f>
        <v>22.5</v>
      </c>
      <c r="N31" s="133">
        <f>M31/L31</f>
        <v>0.45454545454545453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49.5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4.4550000000000001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53.954999999999998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5" spans="8:16" x14ac:dyDescent="0.45">
      <c r="H1048575" s="183"/>
      <c r="I1048575" s="462"/>
      <c r="J1048575" s="462"/>
      <c r="K1048575" s="83"/>
      <c r="L1048575" s="83"/>
      <c r="N1048575" s="233"/>
      <c r="O1048575" s="233"/>
      <c r="P1048575" s="233"/>
    </row>
  </sheetData>
  <mergeCells count="32">
    <mergeCell ref="D26:F26"/>
    <mergeCell ref="I26:J26"/>
    <mergeCell ref="I1048575:J1048575"/>
    <mergeCell ref="D27:F27"/>
    <mergeCell ref="I27:J27"/>
    <mergeCell ref="D29:F29"/>
    <mergeCell ref="J31:K31"/>
    <mergeCell ref="J33:K33"/>
    <mergeCell ref="J35:K35"/>
    <mergeCell ref="I17:J17"/>
    <mergeCell ref="D19:F19"/>
    <mergeCell ref="I19:J19"/>
    <mergeCell ref="D25:F25"/>
    <mergeCell ref="I25:J25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35" priority="1"/>
  </conditionalFormatting>
  <conditionalFormatting sqref="C19:C24">
    <cfRule type="duplicateValues" dxfId="134" priority="3"/>
  </conditionalFormatting>
  <conditionalFormatting sqref="C25">
    <cfRule type="duplicateValues" dxfId="133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592</v>
      </c>
      <c r="J10" s="68" t="s">
        <v>27</v>
      </c>
      <c r="K10" s="493">
        <v>202108341</v>
      </c>
      <c r="L10" s="494"/>
    </row>
    <row r="11" spans="2:12" ht="20.149999999999999" customHeight="1" x14ac:dyDescent="0.45">
      <c r="B11" s="477" t="s">
        <v>594</v>
      </c>
      <c r="C11" s="478"/>
      <c r="D11" s="479"/>
      <c r="E11" s="25"/>
      <c r="F11" s="480" t="str">
        <f>VLOOKUP(H10,'Delivery Location'!A$4:N$460,2,0)</f>
        <v>BB Tea House                                          Block 640, Yishun #01-200 Singapore</v>
      </c>
      <c r="G11" s="481"/>
      <c r="H11" s="482"/>
      <c r="J11" s="69" t="s">
        <v>9</v>
      </c>
      <c r="K11" s="504">
        <v>44432</v>
      </c>
      <c r="L11" s="464"/>
    </row>
    <row r="12" spans="2:12" ht="20.149999999999999" customHeight="1" x14ac:dyDescent="0.45">
      <c r="B12" s="488" t="s">
        <v>595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70" t="s">
        <v>11</v>
      </c>
      <c r="K15" s="468"/>
      <c r="L15" s="469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76" t="s">
        <v>725</v>
      </c>
      <c r="D18" s="445" t="str">
        <f>VLOOKUP(C18,'Sales Master'!B$3:D$530,2,)</f>
        <v>Fresh Soursop Seedless 红毛榴莲(无)</v>
      </c>
      <c r="E18" s="445"/>
      <c r="F18" s="445"/>
      <c r="G18" s="76">
        <v>3</v>
      </c>
      <c r="H18" s="82" t="str">
        <f>VLOOKUP(C18,'Sales Master'!$B$3:$F$530,5,0)</f>
        <v>GW:1 KG/ Box盒</v>
      </c>
      <c r="I18" s="446" t="str">
        <f>VLOOKUP(C18,'Sales Master'!$B$3:$E$530,4,0)</f>
        <v>DO!</v>
      </c>
      <c r="J18" s="446"/>
      <c r="K18" s="83">
        <f>VLOOKUP(C18,'Sales Master'!$B$3:$BT$2405,71,0)</f>
        <v>10</v>
      </c>
      <c r="L18" s="84">
        <f>K18*G18</f>
        <v>30</v>
      </c>
      <c r="M18" s="65"/>
      <c r="N18" s="93" t="s">
        <v>317</v>
      </c>
      <c r="O18" s="19" t="s">
        <v>434</v>
      </c>
      <c r="R18" s="19">
        <v>1</v>
      </c>
      <c r="S18" s="19" t="s">
        <v>438</v>
      </c>
      <c r="T18" s="19" t="s">
        <v>435</v>
      </c>
      <c r="V18" s="19">
        <v>52.8</v>
      </c>
    </row>
    <row r="19" spans="2:22" ht="20.149999999999999" customHeight="1" x14ac:dyDescent="0.45">
      <c r="B19" s="29"/>
      <c r="C19" s="76" t="s">
        <v>726</v>
      </c>
      <c r="D19" s="445" t="str">
        <f>VLOOKUP(C19,'Sales Master'!B$3:D$530,2,)</f>
        <v>Durian Puree 榴莲酱</v>
      </c>
      <c r="E19" s="445"/>
      <c r="F19" s="445"/>
      <c r="G19" s="76">
        <v>2</v>
      </c>
      <c r="H19" s="82" t="str">
        <f>VLOOKUP(C19,'Sales Master'!$B$3:$F$530,5,0)</f>
        <v>1 KG/ Box盒</v>
      </c>
      <c r="I19" s="446" t="str">
        <f>VLOOKUP(C19,'Sales Master'!$B$3:$E$530,4,0)</f>
        <v>DO!</v>
      </c>
      <c r="J19" s="446"/>
      <c r="K19" s="83">
        <f>VLOOKUP(C19,'Sales Master'!$B$3:$BT$2405,71,0)</f>
        <v>9</v>
      </c>
      <c r="L19" s="84">
        <f>K19*G19</f>
        <v>18</v>
      </c>
    </row>
    <row r="20" spans="2:22" ht="20.149999999999999" customHeight="1" x14ac:dyDescent="0.45">
      <c r="B20" s="29"/>
      <c r="C20" s="76" t="s">
        <v>971</v>
      </c>
      <c r="D20" s="445" t="str">
        <f>VLOOKUP(C20,'Sales Master'!B$3:D$530,2,)</f>
        <v>Carnation Milk 三花淡奶水</v>
      </c>
      <c r="E20" s="445"/>
      <c r="F20" s="445"/>
      <c r="G20" s="76">
        <v>24</v>
      </c>
      <c r="H20" s="82" t="str">
        <f>VLOOKUP(C20,'Sales Master'!$B$3:$F$530,5,0)</f>
        <v>405 GM/ Can罐</v>
      </c>
      <c r="I20" s="446" t="str">
        <f>VLOOKUP(C20,'Sales Master'!$B$3:$E$530,4,0)</f>
        <v>Threeflower</v>
      </c>
      <c r="J20" s="446"/>
      <c r="K20" s="83">
        <f>VLOOKUP(C20,'Sales Master'!$B$3:$BT$2405,71,0)</f>
        <v>1.3</v>
      </c>
      <c r="L20" s="84">
        <f>K20*G20</f>
        <v>31.200000000000003</v>
      </c>
      <c r="M20" s="65"/>
    </row>
    <row r="21" spans="2:22" ht="20.149999999999999" customHeight="1" x14ac:dyDescent="0.45">
      <c r="B21" s="29"/>
      <c r="C21" s="76" t="s">
        <v>1014</v>
      </c>
      <c r="D21" s="445" t="str">
        <f>VLOOKUP(C21,'Sales Master'!B$3:D$530,2,)</f>
        <v>Fine Sugar 白糖</v>
      </c>
      <c r="E21" s="445"/>
      <c r="F21" s="445"/>
      <c r="G21" s="76">
        <v>1</v>
      </c>
      <c r="H21" s="82" t="str">
        <f>VLOOKUP(C21,'Sales Master'!$B$3:$F$530,5,0)</f>
        <v>25 KGS</v>
      </c>
      <c r="I21" s="446" t="str">
        <f>VLOOKUP(C21,'Sales Master'!$B$3:$E$530,4,0)</f>
        <v>MITR PHOL/ 蜜朋</v>
      </c>
      <c r="J21" s="446"/>
      <c r="K21" s="83">
        <f>VLOOKUP(C21,'Sales Master'!$B$3:$BT$2405,71,0)</f>
        <v>0</v>
      </c>
      <c r="L21" s="84">
        <f>K21*G21</f>
        <v>0</v>
      </c>
      <c r="M21" s="65"/>
    </row>
    <row r="22" spans="2:22" ht="20.149999999999999" customHeight="1" x14ac:dyDescent="0.45">
      <c r="B22" s="66"/>
      <c r="C22" s="76" t="s">
        <v>1129</v>
      </c>
      <c r="D22" s="445" t="str">
        <f>VLOOKUP(C22,'Sales Master'!B$3:D$530,2,)</f>
        <v>WHEAT FLOUR</v>
      </c>
      <c r="E22" s="445"/>
      <c r="F22" s="445"/>
      <c r="G22" s="76">
        <v>1</v>
      </c>
      <c r="H22" s="82" t="str">
        <f>VLOOKUP(C22,'Sales Master'!$B$3:$F$530,5,0)</f>
        <v>25 KGS</v>
      </c>
      <c r="I22" s="446" t="str">
        <f>VLOOKUP(C22,'Sales Master'!$B$3:$E$530,4,0)</f>
        <v>FISH BRAND</v>
      </c>
      <c r="J22" s="446"/>
      <c r="K22" s="83">
        <f>VLOOKUP(C22,'Sales Master'!$B$3:$BT$2405,71,0)</f>
        <v>36</v>
      </c>
      <c r="L22" s="84">
        <f>K22*G22</f>
        <v>36</v>
      </c>
      <c r="M22" s="65"/>
    </row>
    <row r="23" spans="2:22" ht="20.149999999999999" customHeight="1" x14ac:dyDescent="0.45">
      <c r="B23" s="29"/>
      <c r="C23" s="76"/>
      <c r="D23" s="445"/>
      <c r="E23" s="445"/>
      <c r="F23" s="445"/>
      <c r="G23" s="76"/>
      <c r="H23" s="82"/>
      <c r="I23" s="446"/>
      <c r="J23" s="446"/>
      <c r="K23" s="83"/>
      <c r="L23" s="161"/>
      <c r="M23" s="65"/>
    </row>
    <row r="24" spans="2:22" ht="20.149999999999999" customHeight="1" x14ac:dyDescent="0.45">
      <c r="B24" s="29"/>
      <c r="C24" s="76"/>
      <c r="D24" s="445"/>
      <c r="E24" s="445"/>
      <c r="F24" s="445"/>
      <c r="G24" s="76"/>
      <c r="H24" s="82"/>
      <c r="I24" s="446"/>
      <c r="J24" s="446"/>
      <c r="K24" s="83"/>
      <c r="L24" s="161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92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92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91"/>
      <c r="J30" s="491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91"/>
      <c r="J31" s="491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91"/>
      <c r="J32" s="491"/>
      <c r="K32" s="30"/>
      <c r="L32" s="92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91"/>
      <c r="J33" s="491"/>
      <c r="K33" s="30"/>
      <c r="L33" s="92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91"/>
      <c r="J34" s="491"/>
      <c r="K34" s="30"/>
      <c r="L34" s="92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91"/>
      <c r="J35" s="491"/>
      <c r="K35" s="30"/>
      <c r="L35" s="92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91"/>
      <c r="J36" s="491"/>
      <c r="K36" s="30"/>
      <c r="L36" s="92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527"/>
      <c r="J37" s="527"/>
      <c r="K37" s="34"/>
      <c r="L37" s="7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55" t="s">
        <v>13</v>
      </c>
      <c r="K39" s="456"/>
      <c r="L39" s="38">
        <f>SUM(L17:L36)</f>
        <v>115.2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57" t="s">
        <v>19</v>
      </c>
      <c r="K41" s="458"/>
      <c r="L41" s="41">
        <f>L39-L40</f>
        <v>115.2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>
        <f>L41*K42</f>
        <v>10.368</v>
      </c>
    </row>
    <row r="43" spans="2:13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72"/>
      <c r="J43" s="459" t="s">
        <v>21</v>
      </c>
      <c r="K43" s="460"/>
      <c r="L43" s="43">
        <f>L41+L42</f>
        <v>125.568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690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workbookViewId="0">
      <selection activeCell="K32" sqref="K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597</v>
      </c>
      <c r="J10" s="24" t="s">
        <v>27</v>
      </c>
      <c r="K10" s="493">
        <v>202112469</v>
      </c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 xml:space="preserve">Koufu - WoodGrove                                30, Woodlands Ave 1 #01-11 Singapore 739065     (DESSERT COUNTER)                               </v>
      </c>
      <c r="G11" s="481"/>
      <c r="H11" s="482"/>
      <c r="J11" s="26" t="s">
        <v>9</v>
      </c>
      <c r="K11" s="504" t="s">
        <v>1183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953</v>
      </c>
      <c r="D18" s="461" t="str">
        <f>VLOOKUP(C18,'Sales Master'!B$3:D$530,2,)</f>
        <v>Aloe Vera 芦荟 10mm</v>
      </c>
      <c r="E18" s="461"/>
      <c r="F18" s="461"/>
      <c r="G18" s="17">
        <v>6</v>
      </c>
      <c r="H18" s="56" t="str">
        <f>VLOOKUP(C18,'Sales Master'!$B$3:$E$530,4,0)</f>
        <v>Chefs</v>
      </c>
      <c r="I18" s="473" t="str">
        <f>VLOOKUP(C18,'Sales Master'!$B$3:F$530,5,0)</f>
        <v>1 Can X A10</v>
      </c>
      <c r="J18" s="473"/>
      <c r="K18" s="30">
        <f>VLOOKUP(C18,'Sales Master'!B$3:J$530,9,0)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953</v>
      </c>
      <c r="D19" s="461" t="str">
        <f>VLOOKUP(C19,'Sales Master'!B$3:D$530,2,)</f>
        <v>Aloe Vera 芦荟 10mm</v>
      </c>
      <c r="E19" s="461"/>
      <c r="F19" s="461"/>
      <c r="G19" s="17">
        <v>6</v>
      </c>
      <c r="H19" s="56" t="str">
        <f>VLOOKUP(C19,'Sales Master'!$B$3:$E$530,4,0)</f>
        <v>Chefs</v>
      </c>
      <c r="I19" s="473" t="str">
        <f>VLOOKUP(C19,'Sales Master'!$B$3:F$530,5,0)</f>
        <v>1 Can X A10</v>
      </c>
      <c r="J19" s="473"/>
      <c r="K19" s="30">
        <f>VLOOKUP(C19,'Sales Master'!B$3:J$530,9,0)</f>
        <v>10</v>
      </c>
      <c r="L19" s="64">
        <f>K19*G19</f>
        <v>60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31"/>
    </row>
    <row r="27" spans="2:15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5" ht="20.149999999999999" customHeight="1" thickBot="1" x14ac:dyDescent="0.5">
      <c r="B28" s="36"/>
      <c r="L28" s="37"/>
    </row>
    <row r="29" spans="2:15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120</v>
      </c>
      <c r="M29" s="63">
        <f>166+26</f>
        <v>192</v>
      </c>
    </row>
    <row r="30" spans="2:15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5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120</v>
      </c>
    </row>
    <row r="32" spans="2:15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8"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5:F25"/>
    <mergeCell ref="I25:J25"/>
    <mergeCell ref="D26:F26"/>
    <mergeCell ref="I26:J26"/>
    <mergeCell ref="D27:F27"/>
    <mergeCell ref="I27:J27"/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U43"/>
  <sheetViews>
    <sheetView topLeftCell="A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21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21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N2" s="212"/>
      <c r="O2" s="517"/>
      <c r="P2" s="517"/>
      <c r="Q2" s="517"/>
      <c r="R2" s="30"/>
      <c r="S2" s="186"/>
      <c r="T2" s="497"/>
      <c r="U2" s="497"/>
    </row>
    <row r="3" spans="2:21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N3" s="212"/>
      <c r="O3" s="517"/>
      <c r="P3" s="517"/>
      <c r="Q3" s="517"/>
      <c r="R3" s="190"/>
      <c r="S3" s="196"/>
      <c r="T3" s="462"/>
      <c r="U3" s="462"/>
    </row>
    <row r="4" spans="2:21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  <c r="N4" s="212"/>
      <c r="O4" s="517"/>
      <c r="P4" s="517"/>
      <c r="Q4" s="517"/>
      <c r="R4" s="190"/>
      <c r="S4" s="196"/>
      <c r="T4" s="462"/>
      <c r="U4" s="462"/>
    </row>
    <row r="5" spans="2:21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21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21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21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21" ht="19" thickBot="1" x14ac:dyDescent="0.5">
      <c r="B9" s="18"/>
      <c r="N9" s="480" t="str">
        <f>VLOOKUP(H10,'Delivery Location'!A$4:V$460,2,0)</f>
        <v>TEL: 91548191                                                                                          462 Crawford Lane #01-61 Singapore 190462</v>
      </c>
      <c r="O9" s="481"/>
      <c r="P9" s="482"/>
    </row>
    <row r="10" spans="2:21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599</v>
      </c>
      <c r="J10" s="24" t="s">
        <v>27</v>
      </c>
      <c r="K10" s="493">
        <v>202307572</v>
      </c>
      <c r="L10" s="494"/>
      <c r="N10" s="483"/>
      <c r="O10" s="484"/>
      <c r="P10" s="485"/>
    </row>
    <row r="11" spans="2:21" ht="20.149999999999999" customHeight="1" x14ac:dyDescent="0.45">
      <c r="B11" s="477" t="s">
        <v>705</v>
      </c>
      <c r="C11" s="478"/>
      <c r="D11" s="479"/>
      <c r="E11" s="25"/>
      <c r="F11" s="480" t="str">
        <f>VLOOKUP(H10,'Delivery Location'!A$4:V$460,2,0)</f>
        <v>TEL: 91548191                                                                                          462 Crawford Lane #01-61 Singapore 190462</v>
      </c>
      <c r="G11" s="481"/>
      <c r="H11" s="482"/>
      <c r="J11" s="26" t="s">
        <v>9</v>
      </c>
      <c r="K11" s="495">
        <v>45497</v>
      </c>
      <c r="L11" s="496"/>
      <c r="N11" s="483"/>
      <c r="O11" s="484"/>
      <c r="P11" s="485"/>
    </row>
    <row r="12" spans="2:21" ht="20.149999999999999" customHeight="1" x14ac:dyDescent="0.45">
      <c r="B12" s="488" t="s">
        <v>706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483"/>
      <c r="O12" s="484"/>
      <c r="P12" s="485"/>
    </row>
    <row r="13" spans="2:21" ht="20.149999999999999" customHeight="1" thickBot="1" x14ac:dyDescent="0.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  <c r="N13" s="465"/>
      <c r="O13" s="466"/>
      <c r="P13" s="467"/>
    </row>
    <row r="14" spans="2:21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21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21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284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766</v>
      </c>
      <c r="D18" s="461" t="str">
        <f>VLOOKUP(C18,'Sales Master'!B$3:D$530,2,)</f>
        <v>Chin Chow powder 仙草粉</v>
      </c>
      <c r="E18" s="461"/>
      <c r="F18" s="461"/>
      <c r="G18" s="17">
        <v>4</v>
      </c>
      <c r="H18" s="188" t="str">
        <f>VLOOKUP(C18,'Sales Master'!$B$3:$F$530,5,0)</f>
        <v>2 KG (20 X 100GM)/ Pkt包</v>
      </c>
      <c r="I18" s="497" t="str">
        <f>VLOOKUP(C18,'Sales Master'!$B$3:$E$530,4,0)</f>
        <v>-</v>
      </c>
      <c r="J18" s="497"/>
      <c r="K18" s="83">
        <f>VLOOKUP(C18,'Sales Master'!$B$3:$BG$2395,58,0)</f>
        <v>28</v>
      </c>
      <c r="L18" s="64">
        <f>K18*G18</f>
        <v>112</v>
      </c>
      <c r="M18" s="65"/>
      <c r="N18" s="145">
        <f>VLOOKUP(C18,'Sales Master'!$B$3:$DA$2272,104,0)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73"/>
      <c r="J19" s="473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6" ht="20.149999999999999" customHeight="1" x14ac:dyDescent="0.45">
      <c r="B23" s="29"/>
      <c r="C23" s="149" t="s">
        <v>2166</v>
      </c>
      <c r="D23" s="403"/>
      <c r="E23" s="403"/>
      <c r="F23" s="403"/>
      <c r="G23" s="151"/>
      <c r="H23" s="186"/>
      <c r="I23" s="497"/>
      <c r="J23" s="497"/>
      <c r="K23" s="190"/>
      <c r="L23" s="64"/>
      <c r="M23" s="65"/>
    </row>
    <row r="24" spans="2:16" ht="20.149999999999999" customHeight="1" x14ac:dyDescent="0.45">
      <c r="B24" s="29"/>
      <c r="C24" s="212" t="s">
        <v>890</v>
      </c>
      <c r="D24" s="147" t="str">
        <f>VLOOKUP(C24,'[3]Sales Master'!B$3:D$663,2,0)</f>
        <v>Dried Persimmon 柿子</v>
      </c>
      <c r="E24" s="147"/>
      <c r="F24" s="147"/>
      <c r="G24" s="17">
        <v>1</v>
      </c>
      <c r="H24" s="186" t="str">
        <f>VLOOKUP(C24,'[3]Sales Master'!B$3:F$955,5,0)</f>
        <v>800 GMS</v>
      </c>
      <c r="I24" s="208" t="str">
        <f>VLOOKUP(C24,'[3]Sales Master'!B$3:E$955,4,0)</f>
        <v>AA</v>
      </c>
      <c r="J24" s="208"/>
      <c r="K24" s="190">
        <v>9.5</v>
      </c>
      <c r="L24" s="64"/>
      <c r="M24" s="65"/>
    </row>
    <row r="25" spans="2:16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90"/>
      <c r="L25" s="64"/>
      <c r="M25" s="65"/>
    </row>
    <row r="26" spans="2:16" ht="20.149999999999999" customHeight="1" x14ac:dyDescent="0.45">
      <c r="B26" s="29"/>
      <c r="L26" s="64"/>
      <c r="M26" s="65"/>
    </row>
    <row r="27" spans="2:16" ht="20.149999999999999" customHeight="1" x14ac:dyDescent="0.45">
      <c r="B27" s="29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O2:Q2"/>
    <mergeCell ref="T2:U2"/>
    <mergeCell ref="B1:L8"/>
    <mergeCell ref="D17:F17"/>
    <mergeCell ref="I17:J17"/>
    <mergeCell ref="O3:Q3"/>
    <mergeCell ref="T3:U3"/>
    <mergeCell ref="F11:H15"/>
    <mergeCell ref="K11:L11"/>
    <mergeCell ref="B12:D12"/>
    <mergeCell ref="K12:L12"/>
    <mergeCell ref="B13:D13"/>
    <mergeCell ref="K13:L13"/>
    <mergeCell ref="B14:D14"/>
    <mergeCell ref="K14:L14"/>
    <mergeCell ref="O4:Q4"/>
    <mergeCell ref="T4:U4"/>
    <mergeCell ref="D28:F28"/>
    <mergeCell ref="I28:J28"/>
    <mergeCell ref="I18:J18"/>
    <mergeCell ref="D19:F19"/>
    <mergeCell ref="I19:J19"/>
    <mergeCell ref="N9:P13"/>
    <mergeCell ref="D20:F20"/>
    <mergeCell ref="I20:J20"/>
    <mergeCell ref="D18:F18"/>
    <mergeCell ref="K10:L10"/>
    <mergeCell ref="B11:D11"/>
    <mergeCell ref="D21:F21"/>
    <mergeCell ref="I21:J21"/>
    <mergeCell ref="D22:F22"/>
    <mergeCell ref="I22:J22"/>
    <mergeCell ref="K15:L15"/>
    <mergeCell ref="J35:K35"/>
    <mergeCell ref="J31:K31"/>
    <mergeCell ref="J33:K33"/>
    <mergeCell ref="D29:F29"/>
    <mergeCell ref="I29:J29"/>
    <mergeCell ref="I23:J23"/>
  </mergeCells>
  <conditionalFormatting sqref="C23">
    <cfRule type="duplicateValues" dxfId="132" priority="1"/>
  </conditionalFormatting>
  <conditionalFormatting sqref="C25 N3:N4">
    <cfRule type="duplicateValues" dxfId="131" priority="4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602</v>
      </c>
      <c r="J10" s="24" t="s">
        <v>27</v>
      </c>
      <c r="K10" s="493">
        <v>202305210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Yew Tee Point                                21, Choa Chu Kang North 6, #B1-17 to 22 Yew Tee Point.  Singapore 689578  (Dessert)</v>
      </c>
      <c r="G11" s="481"/>
      <c r="H11" s="482"/>
      <c r="J11" s="26" t="s">
        <v>9</v>
      </c>
      <c r="K11" s="495">
        <v>45056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3" ht="20.149999999999999" customHeight="1" x14ac:dyDescent="0.45">
      <c r="B18" s="29"/>
      <c r="C18" s="147" t="s">
        <v>836</v>
      </c>
      <c r="D18" s="461" t="str">
        <f>VLOOKUP(C18,'Sales Master'!B$3:D$530,2,)</f>
        <v>Red Bean 红豆 (5.5 mm)</v>
      </c>
      <c r="E18" s="461"/>
      <c r="F18" s="461"/>
      <c r="G18" s="17">
        <v>2</v>
      </c>
      <c r="H18" s="186" t="str">
        <f>VLOOKUP(C18,'Sales Master'!$B$3:$F$2481,5,0)</f>
        <v>5 KG</v>
      </c>
      <c r="I18" s="497" t="str">
        <f>VLOOKUP(C18,'Sales Master'!$B$3:$E$2481,4,0)</f>
        <v>-</v>
      </c>
      <c r="J18" s="497"/>
      <c r="K18" s="30">
        <f>VLOOKUP(C18,'Sales Master'!B$3:J$530,9,0)</f>
        <v>17.5</v>
      </c>
      <c r="L18" s="64">
        <f t="shared" ref="L18:L23" si="0">K18*G18</f>
        <v>35</v>
      </c>
      <c r="M18" s="65"/>
      <c r="N18" s="145">
        <f>VLOOKUP(C18,'Sales Master'!$B$3:$DA$2272,104,0)</f>
        <v>12.5</v>
      </c>
      <c r="O18" s="145">
        <f t="shared" ref="O18:O23" si="1">K18-N18</f>
        <v>5</v>
      </c>
      <c r="P18" s="145">
        <f t="shared" ref="P18:P23" si="2">O18*G18</f>
        <v>10</v>
      </c>
    </row>
    <row r="19" spans="2:23" ht="20.149999999999999" customHeight="1" x14ac:dyDescent="0.45">
      <c r="B19" s="29"/>
      <c r="C19" s="147" t="s">
        <v>849</v>
      </c>
      <c r="D19" s="461" t="str">
        <f>VLOOKUP(C19,'Sales Master'!B$3:D$530,2,)</f>
        <v>Green Bean 绿豆</v>
      </c>
      <c r="E19" s="461"/>
      <c r="F19" s="461"/>
      <c r="G19" s="17">
        <v>2</v>
      </c>
      <c r="H19" s="186" t="str">
        <f>VLOOKUP(C19,'Sales Master'!$B$3:$F$2481,5,0)</f>
        <v>5 KG</v>
      </c>
      <c r="I19" s="497" t="str">
        <f>VLOOKUP(C19,'Sales Master'!$B$3:$E$2481,4,0)</f>
        <v>-</v>
      </c>
      <c r="J19" s="497"/>
      <c r="K19" s="30">
        <f>VLOOKUP(C19,'Sales Master'!B$3:J$530,9,0)</f>
        <v>13</v>
      </c>
      <c r="L19" s="64">
        <f t="shared" si="0"/>
        <v>26</v>
      </c>
      <c r="M19" s="65"/>
      <c r="N19" s="145">
        <f>VLOOKUP(C19,'Sales Master'!$B$3:$DA$2272,104,0)</f>
        <v>8.75</v>
      </c>
      <c r="O19" s="145">
        <f t="shared" si="1"/>
        <v>4.25</v>
      </c>
      <c r="P19" s="145">
        <f t="shared" si="2"/>
        <v>8.5</v>
      </c>
      <c r="R19" s="19">
        <v>2</v>
      </c>
      <c r="S19" s="19" t="s">
        <v>54</v>
      </c>
      <c r="T19" s="19" t="s">
        <v>347</v>
      </c>
      <c r="V19" s="19">
        <v>9</v>
      </c>
      <c r="W19" s="19">
        <v>18</v>
      </c>
    </row>
    <row r="20" spans="2:23" ht="20.149999999999999" customHeight="1" x14ac:dyDescent="0.45">
      <c r="B20" s="29"/>
      <c r="C20" s="147" t="s">
        <v>861</v>
      </c>
      <c r="D20" s="461" t="str">
        <f>VLOOKUP(C20,'Sales Master'!B$3:D$530,2,)</f>
        <v>Black Glutinous Rice 黑糯米</v>
      </c>
      <c r="E20" s="461"/>
      <c r="F20" s="461"/>
      <c r="G20" s="17">
        <v>2</v>
      </c>
      <c r="H20" s="186" t="str">
        <f>VLOOKUP(C20,'Sales Master'!$B$3:$F$2481,5,0)</f>
        <v>5 KGS</v>
      </c>
      <c r="I20" s="497" t="str">
        <f>VLOOKUP(C20,'Sales Master'!$B$3:$E$2481,4,0)</f>
        <v>-</v>
      </c>
      <c r="J20" s="497"/>
      <c r="K20" s="30">
        <f>VLOOKUP(C20,'Sales Master'!B$3:J$530,9,0)</f>
        <v>18</v>
      </c>
      <c r="L20" s="64">
        <f t="shared" si="0"/>
        <v>36</v>
      </c>
      <c r="M20" s="65"/>
      <c r="N20" s="145">
        <f>VLOOKUP(C20,'Sales Master'!$B$3:$DA$2272,104,0)</f>
        <v>12</v>
      </c>
      <c r="O20" s="145">
        <f t="shared" si="1"/>
        <v>6</v>
      </c>
      <c r="P20" s="145">
        <f t="shared" si="2"/>
        <v>12</v>
      </c>
      <c r="R20" s="19">
        <v>1</v>
      </c>
      <c r="S20" s="19" t="s">
        <v>386</v>
      </c>
      <c r="T20" s="19" t="s">
        <v>450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 t="s">
        <v>990</v>
      </c>
      <c r="D21" s="461" t="str">
        <f>VLOOKUP(C21,'Sales Master'!B$3:D$530,2,)</f>
        <v>Coconut Milk 椰浆</v>
      </c>
      <c r="E21" s="461"/>
      <c r="F21" s="461"/>
      <c r="G21" s="17">
        <v>1</v>
      </c>
      <c r="H21" s="186" t="str">
        <f>VLOOKUP(C21,'Sales Master'!$B$3:$F$2481,5,0)</f>
        <v>(1L x 12bag)/箱</v>
      </c>
      <c r="I21" s="497" t="str">
        <f>VLOOKUP(C21,'Sales Master'!$B$3:$E$2481,4,0)</f>
        <v>Kara UHT</v>
      </c>
      <c r="J21" s="497"/>
      <c r="K21" s="30">
        <f>VLOOKUP(C21,'Sales Master'!B$3:J$530,9,0)</f>
        <v>42</v>
      </c>
      <c r="L21" s="64">
        <f t="shared" si="0"/>
        <v>42</v>
      </c>
      <c r="M21" s="65"/>
      <c r="N21" s="145">
        <f>VLOOKUP(C21,'Sales Master'!$B$3:$DA$2272,104,0)</f>
        <v>35.799999999999997</v>
      </c>
      <c r="O21" s="145">
        <f t="shared" si="1"/>
        <v>6.2000000000000028</v>
      </c>
      <c r="P21" s="145">
        <f t="shared" si="2"/>
        <v>6.2000000000000028</v>
      </c>
      <c r="R21" s="19">
        <v>1</v>
      </c>
      <c r="S21" s="19" t="s">
        <v>386</v>
      </c>
      <c r="T21" s="19" t="s">
        <v>452</v>
      </c>
      <c r="V21" s="19">
        <v>26</v>
      </c>
      <c r="W21" s="19">
        <v>26</v>
      </c>
    </row>
    <row r="22" spans="2:23" ht="20.149999999999999" customHeight="1" x14ac:dyDescent="0.45">
      <c r="B22" s="29"/>
      <c r="C22" s="147" t="s">
        <v>1027</v>
      </c>
      <c r="D22" s="461" t="str">
        <f>VLOOKUP(C22,'Sales Master'!B$3:D$530,2,)</f>
        <v>Tapioca木薯</v>
      </c>
      <c r="E22" s="461"/>
      <c r="F22" s="461"/>
      <c r="G22" s="17">
        <v>20</v>
      </c>
      <c r="H22" s="186" t="str">
        <f>VLOOKUP(C22,'Sales Master'!$B$3:$F$2481,5,0)</f>
        <v>1 KG</v>
      </c>
      <c r="I22" s="497" t="str">
        <f>VLOOKUP(C22,'Sales Master'!$B$3:$E$2481,4,0)</f>
        <v>-</v>
      </c>
      <c r="J22" s="497"/>
      <c r="K22" s="30">
        <f>VLOOKUP(C22,'Sales Master'!B$3:J$530,9,0)</f>
        <v>1.8</v>
      </c>
      <c r="L22" s="64">
        <f t="shared" si="0"/>
        <v>36</v>
      </c>
      <c r="M22" s="65"/>
      <c r="N22" s="145">
        <f>VLOOKUP(C22,'Sales Master'!$B$3:$DA$2272,104,0)</f>
        <v>1.1000000000000001</v>
      </c>
      <c r="O22" s="145">
        <f t="shared" si="1"/>
        <v>0.7</v>
      </c>
      <c r="P22" s="145">
        <f t="shared" si="2"/>
        <v>14</v>
      </c>
      <c r="R22" s="19">
        <v>1</v>
      </c>
      <c r="S22" s="19" t="s">
        <v>386</v>
      </c>
      <c r="T22" s="19" t="s">
        <v>452</v>
      </c>
      <c r="V22" s="19">
        <v>34</v>
      </c>
      <c r="W22" s="19">
        <v>34</v>
      </c>
    </row>
    <row r="23" spans="2:23" ht="20.149999999999999" customHeight="1" x14ac:dyDescent="0.45">
      <c r="B23" s="29"/>
      <c r="C23" s="147" t="s">
        <v>1033</v>
      </c>
      <c r="D23" s="461" t="str">
        <f>VLOOKUP(C23,'Sales Master'!B$3:D$530,2,)</f>
        <v>Pandan Leaf 班兰叶</v>
      </c>
      <c r="E23" s="461"/>
      <c r="F23" s="461"/>
      <c r="G23" s="17">
        <v>1</v>
      </c>
      <c r="H23" s="186" t="str">
        <f>VLOOKUP(C23,'Sales Master'!$B$3:$F$2481,5,0)</f>
        <v>1 KG</v>
      </c>
      <c r="I23" s="497" t="str">
        <f>VLOOKUP(C23,'Sales Master'!$B$3:$E$2481,4,0)</f>
        <v>-</v>
      </c>
      <c r="J23" s="497"/>
      <c r="K23" s="30">
        <f>VLOOKUP(C23,'Sales Master'!B$3:J$530,9,0)</f>
        <v>1.8</v>
      </c>
      <c r="L23" s="64">
        <f t="shared" si="0"/>
        <v>1.8</v>
      </c>
      <c r="M23" s="65"/>
      <c r="N23" s="145">
        <f>VLOOKUP(C23,'Sales Master'!$B$3:$DA$2272,104,0)</f>
        <v>1.1000000000000001</v>
      </c>
      <c r="O23" s="145">
        <f t="shared" si="1"/>
        <v>0.7</v>
      </c>
      <c r="P23" s="145">
        <f t="shared" si="2"/>
        <v>0.7</v>
      </c>
      <c r="R23" s="19">
        <v>1</v>
      </c>
      <c r="S23" s="19" t="s">
        <v>52</v>
      </c>
      <c r="T23" s="19" t="s">
        <v>453</v>
      </c>
      <c r="V23" s="19">
        <v>41</v>
      </c>
      <c r="W23" s="19">
        <v>123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  <c r="R24" s="19">
        <v>1</v>
      </c>
      <c r="S24" s="19" t="s">
        <v>34</v>
      </c>
      <c r="T24" s="19" t="s">
        <v>93</v>
      </c>
      <c r="V24" s="19">
        <v>12</v>
      </c>
      <c r="W24" s="19">
        <v>12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186"/>
      <c r="I25" s="497"/>
      <c r="J25" s="497"/>
      <c r="K25" s="30"/>
      <c r="L25" s="64"/>
      <c r="M25" s="65"/>
      <c r="N25" s="145"/>
      <c r="O25" s="145"/>
      <c r="P25" s="145"/>
      <c r="R25" s="19">
        <v>1</v>
      </c>
      <c r="S25" s="19" t="s">
        <v>34</v>
      </c>
      <c r="T25" s="19" t="s">
        <v>62</v>
      </c>
      <c r="V25" s="19">
        <v>6</v>
      </c>
      <c r="W25" s="19">
        <v>12</v>
      </c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  <c r="R26" s="19">
        <v>20</v>
      </c>
      <c r="S26" s="19" t="s">
        <v>34</v>
      </c>
      <c r="T26" s="19" t="s">
        <v>32</v>
      </c>
      <c r="V26" s="19">
        <v>1.8</v>
      </c>
      <c r="W26" s="19">
        <v>36</v>
      </c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64"/>
      <c r="M28" s="65"/>
    </row>
    <row r="29" spans="2:23" ht="20.149999999999999" customHeight="1" x14ac:dyDescent="0.45">
      <c r="B29" s="29"/>
      <c r="C29" s="17"/>
      <c r="D29" s="461"/>
      <c r="E29" s="461"/>
      <c r="F29" s="461"/>
      <c r="G29" s="17"/>
      <c r="H29" s="56"/>
      <c r="I29" s="473"/>
      <c r="J29" s="473"/>
      <c r="K29" s="30"/>
      <c r="L29" s="64"/>
      <c r="M29" s="65"/>
    </row>
    <row r="30" spans="2:23" ht="20.149999999999999" customHeight="1" x14ac:dyDescent="0.45">
      <c r="B30" s="29"/>
      <c r="C30" s="17"/>
      <c r="D30" s="461"/>
      <c r="E30" s="461"/>
      <c r="F30" s="461"/>
      <c r="G30" s="17"/>
      <c r="H30" s="56"/>
      <c r="I30" s="473"/>
      <c r="J30" s="473"/>
      <c r="K30" s="30"/>
      <c r="L30" s="31"/>
    </row>
    <row r="31" spans="2:23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23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SUM(L17:L31)</f>
        <v>176.8</v>
      </c>
      <c r="M33" s="63">
        <f>SUM(P18:P31)-L33*0.02</f>
        <v>47.864000000000004</v>
      </c>
      <c r="N33" s="133">
        <f>M33/L33</f>
        <v>0.27072398190045249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176.8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15.912000000000001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192.71200000000002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  <mergeCell ref="J35:K35"/>
    <mergeCell ref="J37:K37"/>
    <mergeCell ref="D29:F29"/>
    <mergeCell ref="I29:J29"/>
    <mergeCell ref="D30:F30"/>
    <mergeCell ref="I30:J30"/>
    <mergeCell ref="D31:F31"/>
    <mergeCell ref="I31:J31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5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603</v>
      </c>
      <c r="J10" s="24" t="s">
        <v>27</v>
      </c>
      <c r="K10" s="493">
        <v>202412058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Happy Hawkers Kopitiam                    622D Punggol Central,                      Singapore 824622.                                   Tim Sum Counter</v>
      </c>
      <c r="G11" s="481"/>
      <c r="H11" s="482"/>
      <c r="J11" s="26" t="s">
        <v>9</v>
      </c>
      <c r="K11" s="495">
        <v>45629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44" t="s">
        <v>2235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801</v>
      </c>
      <c r="D18" s="564" t="str">
        <f>VLOOKUP(C18,'Sales Master'!B$3:D$530,2,)</f>
        <v>Sweet Potato Powder 番薯粉</v>
      </c>
      <c r="E18" s="564"/>
      <c r="F18" s="564"/>
      <c r="G18" s="17">
        <v>1</v>
      </c>
      <c r="H18" s="186" t="str">
        <f>VLOOKUP(C18,'Sales Master'!$B$3:$F$2481,5,0)</f>
        <v>(500gm x 20Pkt)包</v>
      </c>
      <c r="I18" s="497" t="str">
        <f>VLOOKUP(C18,'Sales Master'!$B$3:$E$2481,4,0)</f>
        <v>RE-PACK</v>
      </c>
      <c r="J18" s="497"/>
      <c r="K18" s="30">
        <f>VLOOKUP(C18,'Sales Master'!$B$3:$J$530,9,0)</f>
        <v>32</v>
      </c>
      <c r="L18" s="31">
        <f>K18*G18</f>
        <v>32</v>
      </c>
      <c r="N18" s="145">
        <f>VLOOKUP(C18,'Sales Master'!$B$3:$DA$2272,104,0)</f>
        <v>24.8</v>
      </c>
      <c r="O18" s="145">
        <f>K18-N18</f>
        <v>7.1999999999999993</v>
      </c>
      <c r="P18" s="145">
        <f>O18*G18</f>
        <v>7.1999999999999993</v>
      </c>
    </row>
    <row r="19" spans="2:16" ht="20.149999999999999" customHeight="1" x14ac:dyDescent="0.45">
      <c r="B19" s="29"/>
      <c r="C19" s="212" t="s">
        <v>831</v>
      </c>
      <c r="D19" s="461" t="str">
        <f>VLOOKUP(C19,'Sales Master'!B$3:D$530,2,)</f>
        <v>Chin Chow  仙草</v>
      </c>
      <c r="E19" s="461"/>
      <c r="F19" s="461"/>
      <c r="G19" s="17">
        <v>5</v>
      </c>
      <c r="H19" s="186" t="str">
        <f>VLOOKUP(C19,'Sales Master'!$B$3:$F$2481,5,0)</f>
        <v>4 KG/ Pkt包</v>
      </c>
      <c r="I19" s="497" t="str">
        <f>VLOOKUP(C19,'Sales Master'!$B$3:$E$2481,4,0)</f>
        <v>TSM</v>
      </c>
      <c r="J19" s="497"/>
      <c r="K19" s="30">
        <f>VLOOKUP(C19,'Sales Master'!$B$3:$J$530,9,0)</f>
        <v>6</v>
      </c>
      <c r="L19" s="31">
        <f>K19*G19</f>
        <v>30</v>
      </c>
      <c r="N19" s="145">
        <f>VLOOKUP(C19,'Sales Master'!$B$3:$DA$2272,104,0)</f>
        <v>4</v>
      </c>
      <c r="O19" s="145">
        <f>K19-N19</f>
        <v>2</v>
      </c>
      <c r="P19" s="145">
        <f>O19*G19</f>
        <v>10</v>
      </c>
    </row>
    <row r="20" spans="2:16" ht="20.149999999999999" customHeight="1" x14ac:dyDescent="0.45">
      <c r="B20" s="29"/>
      <c r="C20" s="212" t="s">
        <v>849</v>
      </c>
      <c r="D20" s="461" t="str">
        <f>VLOOKUP(C20,'Sales Master'!B$3:D$530,2,)</f>
        <v>Green Bean 绿豆</v>
      </c>
      <c r="E20" s="461"/>
      <c r="F20" s="461"/>
      <c r="G20" s="17">
        <v>3</v>
      </c>
      <c r="H20" s="186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Master'!$B$3:$J$530,9,0)</f>
        <v>13</v>
      </c>
      <c r="L20" s="31">
        <f>K20*G20</f>
        <v>39</v>
      </c>
      <c r="N20" s="145">
        <f>VLOOKUP(C20,'Sales Master'!$B$3:$DA$2272,104,0)</f>
        <v>8.75</v>
      </c>
      <c r="O20" s="145">
        <f>K20-N20</f>
        <v>4.25</v>
      </c>
      <c r="P20" s="145">
        <f>O20*G20</f>
        <v>12.75</v>
      </c>
    </row>
    <row r="21" spans="2:16" ht="20.149999999999999" customHeight="1" x14ac:dyDescent="0.45">
      <c r="B21" s="29"/>
      <c r="C21" s="212" t="s">
        <v>1011</v>
      </c>
      <c r="D21" s="461" t="str">
        <f>VLOOKUP(C21,'Sales Master'!B$3:D$530,2,)</f>
        <v>Brown Sugar 黑糖</v>
      </c>
      <c r="E21" s="461"/>
      <c r="F21" s="461"/>
      <c r="G21" s="17">
        <v>1</v>
      </c>
      <c r="H21" s="186" t="str">
        <f>VLOOKUP(C21,'Sales Master'!$B$3:$F$2481,5,0)</f>
        <v>6 KG</v>
      </c>
      <c r="I21" s="497" t="str">
        <f>VLOOKUP(C21,'Sales Master'!$B$3:$E$2481,4,0)</f>
        <v>Star</v>
      </c>
      <c r="J21" s="497"/>
      <c r="K21" s="30">
        <f>VLOOKUP(C21,'Sales Master'!$B$3:$J$530,9,0)</f>
        <v>15</v>
      </c>
      <c r="L21" s="31">
        <f>K21*G21</f>
        <v>15</v>
      </c>
      <c r="N21" s="145">
        <f>VLOOKUP(C21,'Sales Master'!$B$3:$DA$2272,104,0)</f>
        <v>12.5</v>
      </c>
      <c r="O21" s="145">
        <f>K21-N21</f>
        <v>2.5</v>
      </c>
      <c r="P21" s="145">
        <f>O21*G21</f>
        <v>2.5</v>
      </c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73"/>
      <c r="J28" s="473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SUM(L17:L30)</f>
        <v>116</v>
      </c>
      <c r="M32" s="63">
        <f>SUM(P18:P30)-L32*0.02</f>
        <v>30.130000000000003</v>
      </c>
      <c r="N32" s="133">
        <f>M32/L32</f>
        <v>0.25974137931034486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116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10.44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126.44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2"/>
    </row>
  </sheetData>
  <mergeCells count="37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J36:K36"/>
    <mergeCell ref="I24:J24"/>
    <mergeCell ref="I25:J25"/>
    <mergeCell ref="I26:J26"/>
    <mergeCell ref="I27:J27"/>
    <mergeCell ref="I28:J28"/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workbookViewId="0">
      <selection activeCell="A9" sqref="A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604</v>
      </c>
      <c r="J10" s="24" t="s">
        <v>27</v>
      </c>
      <c r="K10" s="493">
        <v>202208007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Happy Hawkers Kopitiam                   622D Punggol Central,                       Singapore 824622.                                  Drink Counter</v>
      </c>
      <c r="G11" s="481"/>
      <c r="H11" s="482"/>
      <c r="J11" s="26" t="s">
        <v>9</v>
      </c>
      <c r="K11" s="495">
        <v>44774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801</v>
      </c>
      <c r="D18" s="461" t="str">
        <f>VLOOKUP(C18,'Sales Master'!B$3:D$530,2,)</f>
        <v>Sweet Potato Powder 番薯粉</v>
      </c>
      <c r="E18" s="461"/>
      <c r="F18" s="461"/>
      <c r="G18" s="17">
        <v>1</v>
      </c>
      <c r="H18" s="56" t="str">
        <f>VLOOKUP(C18,'Sales Master'!$B$3:$F$2481,5,0)</f>
        <v>(500gm x 20Pkt)包</v>
      </c>
      <c r="I18" s="491" t="str">
        <f>VLOOKUP(C18,'Sales Master'!$B$3:$E$2481,4,0)</f>
        <v>RE-PACK</v>
      </c>
      <c r="J18" s="491"/>
      <c r="K18" s="30">
        <f>VLOOKUP(C18,'Sales Master'!$B$3:$J$530,9,0)</f>
        <v>32</v>
      </c>
      <c r="L18" s="31">
        <f>K18*G18</f>
        <v>32</v>
      </c>
      <c r="N18" s="145">
        <f>VLOOKUP(C18,'Sales Master'!$B$3:$DA$2272,104,0)</f>
        <v>24.8</v>
      </c>
      <c r="O18" s="145">
        <f>K18-N18</f>
        <v>7.1999999999999993</v>
      </c>
      <c r="P18" s="145">
        <f>O18*G18</f>
        <v>7.1999999999999993</v>
      </c>
    </row>
    <row r="19" spans="2:16" ht="20.149999999999999" customHeight="1" x14ac:dyDescent="0.45">
      <c r="B19" s="29"/>
      <c r="C19" s="17" t="s">
        <v>831</v>
      </c>
      <c r="D19" s="461" t="str">
        <f>VLOOKUP(C19,'Sales Master'!B$3:D$530,2,)</f>
        <v>Chin Chow  仙草</v>
      </c>
      <c r="E19" s="461"/>
      <c r="F19" s="461"/>
      <c r="G19" s="17">
        <v>2</v>
      </c>
      <c r="H19" s="56" t="str">
        <f>VLOOKUP(C19,'Sales Master'!$B$3:$F$2481,5,0)</f>
        <v>4 KG/ Pkt包</v>
      </c>
      <c r="I19" s="491" t="str">
        <f>VLOOKUP(C19,'Sales Master'!$B$3:$E$2481,4,0)</f>
        <v>TSM</v>
      </c>
      <c r="J19" s="491"/>
      <c r="K19" s="30">
        <f>VLOOKUP(C19,'Sales Master'!$B$3:$J$530,9,0)</f>
        <v>6</v>
      </c>
      <c r="L19" s="31">
        <f>K19*G19</f>
        <v>12</v>
      </c>
      <c r="N19" s="145">
        <f>VLOOKUP(C19,'Sales Master'!$B$3:$DA$2272,104,0)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9"/>
      <c r="C20" s="17" t="s">
        <v>849</v>
      </c>
      <c r="D20" s="461" t="str">
        <f>VLOOKUP(C20,'Sales Master'!B$3:D$530,2,)</f>
        <v>Green Bean 绿豆</v>
      </c>
      <c r="E20" s="461"/>
      <c r="F20" s="461"/>
      <c r="G20" s="17">
        <v>2</v>
      </c>
      <c r="H20" s="56" t="str">
        <f>VLOOKUP(C20,'Sales Master'!$B$3:$F$2481,5,0)</f>
        <v>5 KG</v>
      </c>
      <c r="I20" s="491" t="str">
        <f>VLOOKUP(C20,'Sales Master'!$B$3:$E$2481,4,0)</f>
        <v>-</v>
      </c>
      <c r="J20" s="491"/>
      <c r="K20" s="30">
        <f>VLOOKUP(C20,'Sales Master'!$B$3:$J$530,9,0)</f>
        <v>13</v>
      </c>
      <c r="L20" s="31">
        <f>K20*G20</f>
        <v>26</v>
      </c>
      <c r="N20" s="145">
        <f>VLOOKUP(C20,'Sales Master'!$B$3:$DA$2272,104,0)</f>
        <v>8.75</v>
      </c>
      <c r="O20" s="145">
        <f>K20-N20</f>
        <v>4.25</v>
      </c>
      <c r="P20" s="145">
        <f>O20*G20</f>
        <v>8.5</v>
      </c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73"/>
      <c r="J28" s="473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73"/>
      <c r="J29" s="473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73"/>
      <c r="J30" s="473"/>
      <c r="K30" s="30"/>
      <c r="L30" s="31"/>
    </row>
    <row r="31" spans="2:16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6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3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33"/>
      <c r="I37" s="33"/>
      <c r="J37" s="33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SUM(L17:L37)</f>
        <v>70</v>
      </c>
      <c r="M39" s="63">
        <f>SUM(P18:P28)-L39*0.02</f>
        <v>18.3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70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6.3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76.3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P47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632812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608</v>
      </c>
      <c r="J10" s="24" t="s">
        <v>27</v>
      </c>
      <c r="K10" s="493">
        <v>202501157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Dessert                                     258 Pasir Ris Street 21,  Loyang Point, #02-313,  Singapore 510258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44" t="s">
        <v>2296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17">
        <v>1</v>
      </c>
      <c r="H18" s="85" t="str">
        <f>VLOOKUP(C18,'Sales Master'!$B$3:$F$2481,5,0)</f>
        <v>NW(2.2:0.8) 3kg/ Bag包</v>
      </c>
      <c r="I18" s="497" t="str">
        <f>VLOOKUP(C18,'Sales Master'!$B$3:$E$2481,4,0)</f>
        <v>DO!</v>
      </c>
      <c r="J18" s="497"/>
      <c r="K18" s="30">
        <f>VLOOKUP(C18,'Sales Master'!$B$3:$J$530,9,0)</f>
        <v>6.5</v>
      </c>
      <c r="L18" s="31">
        <f t="shared" ref="L18" si="0">K18*G18</f>
        <v>6.5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815</v>
      </c>
      <c r="D19" s="461" t="str">
        <f>VLOOKUP(C19,'Sales Master'!B$3:D$530,2,)</f>
        <v>Potato Starch 风车粉</v>
      </c>
      <c r="E19" s="461"/>
      <c r="F19" s="461"/>
      <c r="G19" s="17">
        <v>1</v>
      </c>
      <c r="H19" s="85" t="str">
        <f>VLOOKUP(C19,'Sales Master'!$B$3:$F$2481,5,0)</f>
        <v>5 KG</v>
      </c>
      <c r="I19" s="497" t="str">
        <f>VLOOKUP(C19,'Sales Master'!$B$3:$E$2481,4,0)</f>
        <v>RE-PACK</v>
      </c>
      <c r="J19" s="497"/>
      <c r="K19" s="30">
        <f>VLOOKUP(C19,'Sales Master'!$B$3:$J$530,9,0)</f>
        <v>13</v>
      </c>
      <c r="L19" s="31">
        <f>K19*G19</f>
        <v>13</v>
      </c>
      <c r="N19" s="145">
        <f>VLOOKUP(C19,'Sales Master'!$B$3:$DA$2272,104,0)</f>
        <v>8</v>
      </c>
      <c r="O19" s="145">
        <f>K19-N19</f>
        <v>5</v>
      </c>
      <c r="P19" s="145">
        <f>O19*G19</f>
        <v>5</v>
      </c>
    </row>
    <row r="20" spans="2:16" ht="20.149999999999999" customHeight="1" x14ac:dyDescent="0.45">
      <c r="B20" s="29"/>
      <c r="C20" s="212" t="s">
        <v>831</v>
      </c>
      <c r="D20" s="461" t="str">
        <f>VLOOKUP(C20,'Sales Master'!B$3:D$530,2,)</f>
        <v>Chin Chow  仙草</v>
      </c>
      <c r="E20" s="461"/>
      <c r="F20" s="461"/>
      <c r="G20" s="17">
        <v>2</v>
      </c>
      <c r="H20" s="85" t="str">
        <f>VLOOKUP(C20,'Sales Master'!$B$3:$F$2481,5,0)</f>
        <v>4 KG/ Pkt包</v>
      </c>
      <c r="I20" s="497" t="str">
        <f>VLOOKUP(C20,'Sales Master'!$B$3:$E$2481,4,0)</f>
        <v>TSM</v>
      </c>
      <c r="J20" s="497"/>
      <c r="K20" s="30">
        <f>VLOOKUP(C20,'Sales Master'!$B$3:$J$530,9,0)</f>
        <v>6</v>
      </c>
      <c r="L20" s="31">
        <f>K20*G20</f>
        <v>12</v>
      </c>
      <c r="N20" s="145">
        <f>VLOOKUP(C20,'Sales Master'!$B$3:$DA$2272,104,0)</f>
        <v>4</v>
      </c>
      <c r="O20" s="145">
        <f>K20-N20</f>
        <v>2</v>
      </c>
      <c r="P20" s="145">
        <f>O20*G20</f>
        <v>4</v>
      </c>
    </row>
    <row r="21" spans="2:16" ht="20.149999999999999" customHeight="1" x14ac:dyDescent="0.45">
      <c r="B21" s="29"/>
      <c r="C21" s="212" t="s">
        <v>841</v>
      </c>
      <c r="D21" s="461" t="str">
        <f>VLOOKUP(C21,'Sales Master'!B$3:D$530,2,)</f>
        <v>Small Red Bean 小红豆</v>
      </c>
      <c r="E21" s="461"/>
      <c r="F21" s="461"/>
      <c r="G21" s="17">
        <v>1</v>
      </c>
      <c r="H21" s="85" t="str">
        <f>VLOOKUP(C21,'Sales Master'!$B$3:$F$2481,5,0)</f>
        <v>5 KG</v>
      </c>
      <c r="I21" s="497" t="str">
        <f>VLOOKUP(C21,'Sales Master'!$B$3:$E$2481,4,0)</f>
        <v>-</v>
      </c>
      <c r="J21" s="497"/>
      <c r="K21" s="30">
        <f>VLOOKUP(C21,'Sales Master'!$B$3:$J$530,9,0)</f>
        <v>17.5</v>
      </c>
      <c r="L21" s="31">
        <f>K21*G21</f>
        <v>17.5</v>
      </c>
      <c r="N21" s="145">
        <f>VLOOKUP(C21,'Sales Master'!$B$3:$DA$2272,104,0)</f>
        <v>12.75</v>
      </c>
      <c r="O21" s="145">
        <f>K21-N21</f>
        <v>4.75</v>
      </c>
      <c r="P21" s="145">
        <f>O21*G21</f>
        <v>4.75</v>
      </c>
    </row>
    <row r="22" spans="2:16" ht="20.149999999999999" customHeight="1" x14ac:dyDescent="0.45">
      <c r="B22" s="29"/>
      <c r="C22" s="212" t="s">
        <v>849</v>
      </c>
      <c r="D22" s="461" t="str">
        <f>VLOOKUP(C22,'Sales Master'!B$3:D$530,2,)</f>
        <v>Green Bean 绿豆</v>
      </c>
      <c r="E22" s="461"/>
      <c r="F22" s="461"/>
      <c r="G22" s="17">
        <v>1</v>
      </c>
      <c r="H22" s="85" t="str">
        <f>VLOOKUP(C22,'Sales Master'!$B$3:$F$2481,5,0)</f>
        <v>5 KG</v>
      </c>
      <c r="I22" s="497" t="str">
        <f>VLOOKUP(C22,'Sales Master'!$B$3:$E$2481,4,0)</f>
        <v>-</v>
      </c>
      <c r="J22" s="497"/>
      <c r="K22" s="30">
        <f>VLOOKUP(C22,'Sales Master'!$B$3:$J$530,9,0)</f>
        <v>13</v>
      </c>
      <c r="L22" s="31">
        <f t="shared" ref="L22" si="3">K22*G22</f>
        <v>13</v>
      </c>
      <c r="N22" s="145">
        <f>VLOOKUP(C22,'Sales Master'!$B$3:$DA$2272,104,0)</f>
        <v>8.75</v>
      </c>
      <c r="O22" s="145">
        <f t="shared" ref="O22" si="4">K22-N22</f>
        <v>4.25</v>
      </c>
      <c r="P22" s="145">
        <f t="shared" ref="P22" si="5">O22*G22</f>
        <v>4.25</v>
      </c>
    </row>
    <row r="23" spans="2:16" ht="20.149999999999999" customHeight="1" x14ac:dyDescent="0.45">
      <c r="B23" s="29"/>
      <c r="C23" s="212" t="s">
        <v>990</v>
      </c>
      <c r="D23" s="461" t="str">
        <f>VLOOKUP(C23,'Sales Master'!B$3:D$530,2,)</f>
        <v>Coconut Milk 椰浆</v>
      </c>
      <c r="E23" s="461"/>
      <c r="F23" s="461"/>
      <c r="G23" s="17">
        <v>2</v>
      </c>
      <c r="H23" s="85" t="str">
        <f>VLOOKUP(C23,'Sales Master'!$B$3:$F$2481,5,0)</f>
        <v>(1L x 12bag)/箱</v>
      </c>
      <c r="I23" s="497" t="str">
        <f>VLOOKUP(C23,'Sales Master'!$B$3:$E$2481,4,0)</f>
        <v>Kara UHT</v>
      </c>
      <c r="J23" s="497"/>
      <c r="K23" s="30">
        <f>VLOOKUP(C23,'Sales Master'!$B$3:$J$530,9,0)</f>
        <v>42</v>
      </c>
      <c r="L23" s="31">
        <f>K23*G23</f>
        <v>84</v>
      </c>
      <c r="N23" s="145">
        <f>VLOOKUP(C23,'Sales Master'!$B$3:$DA$2272,104,0)</f>
        <v>35.799999999999997</v>
      </c>
      <c r="O23" s="145">
        <f>K23-N23</f>
        <v>6.2000000000000028</v>
      </c>
      <c r="P23" s="145">
        <f>O23*G23</f>
        <v>12.400000000000006</v>
      </c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97"/>
      <c r="J24" s="497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85"/>
      <c r="I25" s="497"/>
      <c r="J25" s="497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85"/>
      <c r="I26" s="497"/>
      <c r="J26" s="497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85"/>
      <c r="I27" s="497"/>
      <c r="J27" s="497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92"/>
      <c r="E28" s="492"/>
      <c r="F28" s="492"/>
      <c r="G28" s="17"/>
      <c r="H28" s="85"/>
      <c r="I28" s="497"/>
      <c r="J28" s="497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17"/>
      <c r="H29" s="85"/>
      <c r="I29" s="497"/>
      <c r="J29" s="497"/>
      <c r="K29" s="30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17"/>
      <c r="H30" s="85"/>
      <c r="I30" s="497"/>
      <c r="J30" s="497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17"/>
      <c r="H31" s="85"/>
      <c r="I31" s="497"/>
      <c r="J31" s="497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2"/>
      <c r="D32" s="461"/>
      <c r="E32" s="461"/>
      <c r="F32" s="461"/>
      <c r="G32" s="17"/>
      <c r="H32" s="85"/>
      <c r="I32" s="497"/>
      <c r="J32" s="497"/>
      <c r="K32" s="30"/>
      <c r="L32" s="31"/>
      <c r="N32" s="145"/>
      <c r="O32" s="145"/>
      <c r="P32" s="145"/>
    </row>
    <row r="33" spans="2:13" ht="20.149999999999999" customHeight="1" thickBot="1" x14ac:dyDescent="0.5">
      <c r="B33" s="32"/>
      <c r="C33" s="33"/>
      <c r="D33" s="490"/>
      <c r="E33" s="490"/>
      <c r="F33" s="490"/>
      <c r="G33" s="33"/>
      <c r="H33" s="33"/>
      <c r="I33" s="33"/>
      <c r="J33" s="33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SUM(L18:L34)</f>
        <v>146</v>
      </c>
      <c r="M35" s="63">
        <f>SUM(P18:P34)-L35*0.02</f>
        <v>31.540000000000006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146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13.139999999999999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159.13999999999999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I28:J28"/>
    <mergeCell ref="I23:J23"/>
    <mergeCell ref="D20:F20"/>
    <mergeCell ref="I26:J26"/>
    <mergeCell ref="D23:F23"/>
    <mergeCell ref="D26:F26"/>
    <mergeCell ref="I20:J20"/>
    <mergeCell ref="I22:J22"/>
    <mergeCell ref="D18:F18"/>
    <mergeCell ref="I18:J18"/>
    <mergeCell ref="D17:F17"/>
    <mergeCell ref="I19:J19"/>
    <mergeCell ref="D19:F19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9:K39"/>
    <mergeCell ref="J37:K37"/>
    <mergeCell ref="D33:F33"/>
    <mergeCell ref="J35:K35"/>
    <mergeCell ref="D32:F32"/>
    <mergeCell ref="I32:J32"/>
    <mergeCell ref="D31:F31"/>
    <mergeCell ref="I31:J31"/>
    <mergeCell ref="D21:F21"/>
    <mergeCell ref="I21:J21"/>
    <mergeCell ref="D29:F29"/>
    <mergeCell ref="I29:J29"/>
    <mergeCell ref="D27:F27"/>
    <mergeCell ref="D22:F22"/>
    <mergeCell ref="I27:J27"/>
    <mergeCell ref="D30:F30"/>
    <mergeCell ref="I30:J30"/>
    <mergeCell ref="I24:J24"/>
    <mergeCell ref="D24:F24"/>
    <mergeCell ref="D25:F25"/>
    <mergeCell ref="I25:J25"/>
    <mergeCell ref="D28:F28"/>
  </mergeCells>
  <pageMargins left="0.511811023622047" right="0.39370078740157499" top="0" bottom="0" header="0.31496062992126" footer="0.31496062992126"/>
  <pageSetup paperSize="9" scale="7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A2791-3F1D-464C-8931-3C0574114144}">
  <sheetPr>
    <tabColor rgb="FFFFC000"/>
    <pageSetUpPr fitToPage="1"/>
  </sheetPr>
  <dimension ref="A1:R51"/>
  <sheetViews>
    <sheetView zoomScaleNormal="100" workbookViewId="0">
      <selection activeCell="B1" sqref="B1:L5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</v>
      </c>
      <c r="J10" s="24" t="s">
        <v>27</v>
      </c>
      <c r="K10" s="493">
        <v>202501111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Drink &amp; Dessert Stall                                         252 North Bridge Road.                                  #03-15/16/17 Raffles City Shopping Centre.  Singapore 189768.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4500318753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6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39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24.360000000000003</v>
      </c>
      <c r="Q18" s="63"/>
      <c r="R18" s="63">
        <f>N18*G18*0.07</f>
        <v>1.0248000000000002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Master'!A$3:B$530,2,0)</f>
        <v>M1004</v>
      </c>
      <c r="D19" s="461" t="str">
        <f>VLOOKUP(C19,'Sales Master'!B$3:D$530,2,)</f>
        <v>Mango Puree 芒果酱</v>
      </c>
      <c r="E19" s="461"/>
      <c r="F19" s="461"/>
      <c r="G19" s="76">
        <v>3</v>
      </c>
      <c r="H19" s="247" t="str">
        <f>VLOOKUP(C19,'Sales Master'!$B$3:$F$2413,5,0)</f>
        <v>1 KG/ Box盒</v>
      </c>
      <c r="I19" s="462" t="str">
        <f>VLOOKUP(C19,'Sales Master'!$B$3:$E$2413,4,0)</f>
        <v>DO!</v>
      </c>
      <c r="J19" s="462"/>
      <c r="K19" s="83">
        <f>VLOOKUP(C19,'Sales Master'!B$3:I$530,8,0)</f>
        <v>7</v>
      </c>
      <c r="L19" s="84">
        <f>K19*G19</f>
        <v>21</v>
      </c>
      <c r="N19" s="145">
        <f>VLOOKUP(C19,'Sales Master'!$B$3:$DA$2272,104,0)</f>
        <v>2.15</v>
      </c>
      <c r="O19" s="145">
        <f>K19-N19</f>
        <v>4.8499999999999996</v>
      </c>
      <c r="P19" s="145">
        <f>O19*G19</f>
        <v>14.549999999999999</v>
      </c>
      <c r="Q19" s="63"/>
      <c r="R19" s="63"/>
    </row>
    <row r="20" spans="1:18" ht="20.149999999999999" customHeight="1" x14ac:dyDescent="0.45">
      <c r="A20" s="65"/>
      <c r="B20" s="58">
        <v>520695</v>
      </c>
      <c r="C20" s="212" t="str">
        <f>VLOOKUP(B20,'Sales Master'!A$3:B$530,2,0)</f>
        <v>P3001B</v>
      </c>
      <c r="D20" s="461" t="str">
        <f>VLOOKUP(C20,'Sales Master'!B$3:D$530,2,)</f>
        <v>Atap Seeds in Syrup 亚嗒子</v>
      </c>
      <c r="E20" s="461"/>
      <c r="F20" s="461"/>
      <c r="G20" s="76">
        <v>7</v>
      </c>
      <c r="H20" s="247" t="str">
        <f>VLOOKUP(C20,'Sales Master'!$B$3:$F$2413,5,0)</f>
        <v>NW(1.6:0.6) 2.2kg/ Bag包</v>
      </c>
      <c r="I20" s="462" t="str">
        <f>VLOOKUP(C20,'Sales Master'!$B$3:$E$2413,4,0)</f>
        <v>DO!</v>
      </c>
      <c r="J20" s="462"/>
      <c r="K20" s="83">
        <f>VLOOKUP(C20,'Sales Master'!B$3:I$530,8,0)</f>
        <v>10</v>
      </c>
      <c r="L20" s="84">
        <f>K20*G20</f>
        <v>70</v>
      </c>
      <c r="N20" s="145">
        <f>VLOOKUP(C20,'Sales Master'!$B$3:$DA$2272,104,0)</f>
        <v>7.3</v>
      </c>
      <c r="O20" s="145">
        <f>K20-N20</f>
        <v>2.7</v>
      </c>
      <c r="P20" s="145">
        <f>O20*G20</f>
        <v>18.900000000000002</v>
      </c>
      <c r="Q20" s="63"/>
      <c r="R20" s="63"/>
    </row>
    <row r="21" spans="1:18" ht="20.149999999999999" customHeight="1" x14ac:dyDescent="0.45">
      <c r="A21" s="65"/>
      <c r="B21" s="58">
        <v>520738</v>
      </c>
      <c r="C21" s="212" t="str">
        <f>VLOOKUP(B21,'Sales Master'!A$3:B$530,2,0)</f>
        <v>P3005A</v>
      </c>
      <c r="D21" s="461" t="str">
        <f>VLOOKUP(C21,'Sales Master'!B$3:D$530,2,)</f>
        <v>Red Bean 红豆 (5.5 mm)</v>
      </c>
      <c r="E21" s="461"/>
      <c r="F21" s="461"/>
      <c r="G21" s="76">
        <v>2</v>
      </c>
      <c r="H21" s="247" t="str">
        <f>VLOOKUP(C21,'Sales Master'!$B$3:$F$2413,5,0)</f>
        <v>5 KG</v>
      </c>
      <c r="I21" s="462" t="str">
        <f>VLOOKUP(C21,'Sales Master'!$B$3:$E$2413,4,0)</f>
        <v>-</v>
      </c>
      <c r="J21" s="462"/>
      <c r="K21" s="83">
        <f>VLOOKUP(C21,'Sales Master'!B$3:I$530,8,0)</f>
        <v>17.5</v>
      </c>
      <c r="L21" s="84">
        <f>K21*G21</f>
        <v>35</v>
      </c>
      <c r="N21" s="145">
        <f>VLOOKUP(C21,'Sales Master'!$B$3:$DA$2272,104,0)</f>
        <v>12.5</v>
      </c>
      <c r="O21" s="145">
        <f>K21-N21</f>
        <v>5</v>
      </c>
      <c r="P21" s="145">
        <f>O21*G21</f>
        <v>10</v>
      </c>
      <c r="Q21" s="63"/>
      <c r="R21" s="63"/>
    </row>
    <row r="22" spans="1:18" ht="20.149999999999999" customHeight="1" x14ac:dyDescent="0.45">
      <c r="A22" s="65"/>
      <c r="B22" s="58">
        <v>520696</v>
      </c>
      <c r="C22" s="212" t="str">
        <f>VLOOKUP(B22,'Sales Master'!A$3:B$530,2,0)</f>
        <v>P3016A</v>
      </c>
      <c r="D22" s="461" t="str">
        <f>VLOOKUP(C22,'Sales Master'!B$3:D$530,2,)</f>
        <v>Pearl Barley 薏米</v>
      </c>
      <c r="E22" s="461"/>
      <c r="F22" s="461"/>
      <c r="G22" s="76">
        <v>1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10</v>
      </c>
      <c r="L22" s="84">
        <f t="shared" ref="L22" si="3">K22*G22</f>
        <v>10</v>
      </c>
      <c r="N22" s="145">
        <f>VLOOKUP(C22,'Sales Master'!$B$3:$DA$2272,104,0)</f>
        <v>7.6</v>
      </c>
      <c r="O22" s="145">
        <f t="shared" ref="O22" si="4">K22-N22</f>
        <v>2.4000000000000004</v>
      </c>
      <c r="P22" s="145">
        <f t="shared" ref="P22" si="5">O22*G22</f>
        <v>2.4000000000000004</v>
      </c>
      <c r="Q22" s="63"/>
      <c r="R22" s="63"/>
    </row>
    <row r="23" spans="1:18" ht="20.149999999999999" customHeight="1" x14ac:dyDescent="0.45">
      <c r="A23" s="65"/>
      <c r="B23" s="58">
        <v>520728</v>
      </c>
      <c r="C23" s="212" t="str">
        <f>VLOOKUP(B23,'Sales Master'!A$3:B$530,2,0)</f>
        <v>P4010</v>
      </c>
      <c r="D23" s="461" t="str">
        <f>VLOOKUP(C23,'Sales Master'!B$3:D$530,2,)</f>
        <v>Lychee in Syrup 荔枝</v>
      </c>
      <c r="E23" s="461"/>
      <c r="F23" s="461"/>
      <c r="G23" s="76">
        <v>7</v>
      </c>
      <c r="H23" s="247" t="str">
        <f>VLOOKUP(C23,'Sales Master'!$B$3:$F$2413,5,0)</f>
        <v>12can/箱</v>
      </c>
      <c r="I23" s="462" t="str">
        <f>VLOOKUP(C23,'Sales Master'!$B$3:$E$2413,4,0)</f>
        <v>MiLi</v>
      </c>
      <c r="J23" s="462"/>
      <c r="K23" s="83">
        <f>VLOOKUP(C23,'Sales Master'!B$3:I$530,8,0)</f>
        <v>24</v>
      </c>
      <c r="L23" s="84">
        <f>K23*G23</f>
        <v>168</v>
      </c>
      <c r="N23" s="145">
        <f>VLOOKUP(C23,'Sales Master'!$B$3:$DA$2272,104,0)</f>
        <v>20</v>
      </c>
      <c r="O23" s="145">
        <f>K23-N23</f>
        <v>4</v>
      </c>
      <c r="P23" s="145">
        <f>O23*G23</f>
        <v>28</v>
      </c>
      <c r="Q23" s="63"/>
      <c r="R23" s="63"/>
    </row>
    <row r="24" spans="1:18" ht="20.149999999999999" customHeight="1" x14ac:dyDescent="0.45">
      <c r="A24" s="65"/>
      <c r="B24" s="58">
        <v>520742</v>
      </c>
      <c r="C24" s="212" t="str">
        <f>VLOOKUP(B24,'Sales Master'!A$3:B$530,2,0)</f>
        <v>P4061A</v>
      </c>
      <c r="D24" s="461" t="str">
        <f>VLOOKUP(C24,'Sales Master'!B$3:D$530,2,)</f>
        <v>Sea Coconut 海底椰</v>
      </c>
      <c r="E24" s="461"/>
      <c r="F24" s="461"/>
      <c r="G24" s="76">
        <v>2</v>
      </c>
      <c r="H24" s="247" t="str">
        <f>VLOOKUP(C24,'Sales Master'!$B$3:$F$2413,5,0)</f>
        <v>(565gm x 6)/ Ctn箱</v>
      </c>
      <c r="I24" s="462" t="str">
        <f>VLOOKUP(C24,'Sales Master'!$B$3:$E$2413,4,0)</f>
        <v>GoldenBoy</v>
      </c>
      <c r="J24" s="462"/>
      <c r="K24" s="83">
        <f>VLOOKUP(C24,'Sales Master'!B$3:I$530,8,0)</f>
        <v>18</v>
      </c>
      <c r="L24" s="84">
        <f>K24*G24</f>
        <v>36</v>
      </c>
      <c r="N24" s="145">
        <f>VLOOKUP(C24,'Sales Master'!$B$3:$DA$2272,104,0)</f>
        <v>14</v>
      </c>
      <c r="O24" s="145">
        <f>K24-N24</f>
        <v>4</v>
      </c>
      <c r="P24" s="145">
        <f>O24*G24</f>
        <v>8</v>
      </c>
      <c r="Q24" s="63"/>
      <c r="R24" s="63"/>
    </row>
    <row r="25" spans="1:18" ht="20.149999999999999" customHeight="1" x14ac:dyDescent="0.45">
      <c r="A25" s="65"/>
      <c r="B25" s="58">
        <v>520748</v>
      </c>
      <c r="C25" s="212" t="str">
        <f>VLOOKUP(B25,'Sales Master'!A$3:B$530,2,0)</f>
        <v>P5006</v>
      </c>
      <c r="D25" s="461" t="str">
        <f>VLOOKUP(C25,'Sales Master'!B$3:D$530,2,)</f>
        <v>Coconut Sugar 椰糖</v>
      </c>
      <c r="E25" s="461"/>
      <c r="F25" s="461"/>
      <c r="G25" s="76">
        <v>1</v>
      </c>
      <c r="H25" s="247" t="str">
        <f>VLOOKUP(C25,'Sales Master'!$B$3:$F$2413,5,0)</f>
        <v>10 KG/ ctn</v>
      </c>
      <c r="I25" s="462" t="str">
        <f>VLOOKUP(C25,'Sales Master'!$B$3:$E$2413,4,0)</f>
        <v>Malaysia</v>
      </c>
      <c r="J25" s="462"/>
      <c r="K25" s="83">
        <f>VLOOKUP(C25,'Sales Master'!B$3:I$530,8,0)</f>
        <v>30</v>
      </c>
      <c r="L25" s="84">
        <f>K25*G25</f>
        <v>30</v>
      </c>
      <c r="N25" s="145">
        <f>VLOOKUP(C25,'Sales Master'!$B$3:$DA$2272,104,0)</f>
        <v>17.8</v>
      </c>
      <c r="O25" s="145">
        <f>K25-N25</f>
        <v>12.2</v>
      </c>
      <c r="P25" s="145">
        <f>O25*G25</f>
        <v>12.2</v>
      </c>
      <c r="Q25" s="63"/>
      <c r="R25" s="63"/>
    </row>
    <row r="26" spans="1:18" ht="20.149999999999999" customHeight="1" x14ac:dyDescent="0.45">
      <c r="A26" s="65"/>
      <c r="B26" s="58">
        <v>520731</v>
      </c>
      <c r="C26" s="212" t="str">
        <f>VLOOKUP(B26,'Sales Master'!A$3:B$530,2,0)</f>
        <v>P6007</v>
      </c>
      <c r="D26" s="461" t="str">
        <f>VLOOKUP(C26,'Sales Master'!B$3:D$530,2,)</f>
        <v>Pandan Leaf 班兰叶</v>
      </c>
      <c r="E26" s="461"/>
      <c r="F26" s="461"/>
      <c r="G26" s="76">
        <v>1</v>
      </c>
      <c r="H26" s="247" t="str">
        <f>VLOOKUP(C26,'Sales Master'!$B$3:$F$2413,5,0)</f>
        <v>1 KG</v>
      </c>
      <c r="I26" s="462" t="str">
        <f>VLOOKUP(C26,'Sales Master'!$B$3:$E$2413,4,0)</f>
        <v>-</v>
      </c>
      <c r="J26" s="462"/>
      <c r="K26" s="83">
        <f>VLOOKUP(C26,'Sales Master'!B$3:I$530,8,0)</f>
        <v>1.8</v>
      </c>
      <c r="L26" s="84">
        <f>K26*G26</f>
        <v>1.8</v>
      </c>
      <c r="N26" s="145">
        <f>VLOOKUP(C26,'Sales Master'!$B$3:$DA$2272,104,0)</f>
        <v>1.1000000000000001</v>
      </c>
      <c r="O26" s="145">
        <f>K26-N26</f>
        <v>0.7</v>
      </c>
      <c r="P26" s="145">
        <f>O26*G26</f>
        <v>0.7</v>
      </c>
      <c r="Q26" s="63"/>
      <c r="R26" s="63"/>
    </row>
    <row r="27" spans="1:18" ht="20.149999999999999" customHeight="1" x14ac:dyDescent="0.45">
      <c r="A27" s="65"/>
      <c r="B27" s="58">
        <v>520740</v>
      </c>
      <c r="C27" s="212" t="str">
        <f>VLOOKUP(B27,'Sales Master'!A$3:B$530,2,0)</f>
        <v>M1037A</v>
      </c>
      <c r="D27" s="461" t="str">
        <f>VLOOKUP(C27,'Sales Master'!B$3:D$530,2,)</f>
        <v>Rock Sugar Syrup 冰糖浆</v>
      </c>
      <c r="E27" s="461"/>
      <c r="F27" s="461"/>
      <c r="G27" s="76">
        <v>5</v>
      </c>
      <c r="H27" s="247" t="str">
        <f>VLOOKUP(C27,'Sales Master'!$B$3:$F$2413,5,0)</f>
        <v>5 KG</v>
      </c>
      <c r="I27" s="462" t="str">
        <f>VLOOKUP(C27,'Sales Master'!$B$3:$E$2413,4,0)</f>
        <v>DO!</v>
      </c>
      <c r="J27" s="462"/>
      <c r="K27" s="83">
        <f>VLOOKUP(C27,'Sales Master'!B$3:I$530,8,0)</f>
        <v>10.5</v>
      </c>
      <c r="L27" s="84">
        <f t="shared" ref="L27" si="6">K27*G27</f>
        <v>52.5</v>
      </c>
      <c r="N27" s="145">
        <f>VLOOKUP(C27,'Sales Master'!$B$3:$DA$2272,104,0)</f>
        <v>5.86</v>
      </c>
      <c r="O27" s="145">
        <f t="shared" ref="O27" si="7">K27-N27</f>
        <v>4.6399999999999997</v>
      </c>
      <c r="P27" s="145">
        <f t="shared" ref="P27" si="8">O27*G27</f>
        <v>23.2</v>
      </c>
      <c r="Q27" s="63"/>
      <c r="R27" s="63"/>
    </row>
    <row r="28" spans="1:18" ht="20.149999999999999" customHeight="1" x14ac:dyDescent="0.45">
      <c r="A28" s="65"/>
      <c r="B28" s="242"/>
      <c r="C28" s="212"/>
      <c r="D28" s="461"/>
      <c r="E28" s="461"/>
      <c r="F28" s="461"/>
      <c r="G28" s="76"/>
      <c r="H28" s="247"/>
      <c r="I28" s="462"/>
      <c r="J28" s="462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242"/>
      <c r="C29" s="212"/>
      <c r="D29" s="461"/>
      <c r="E29" s="461"/>
      <c r="F29" s="461"/>
      <c r="G29" s="76"/>
      <c r="H29" s="247"/>
      <c r="I29" s="462"/>
      <c r="J29" s="462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42"/>
      <c r="C30" s="212"/>
      <c r="D30" s="461"/>
      <c r="E30" s="461"/>
      <c r="F30" s="461"/>
      <c r="G30" s="76"/>
      <c r="H30" s="247"/>
      <c r="I30" s="462"/>
      <c r="J30" s="462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61"/>
      <c r="E31" s="461"/>
      <c r="F31" s="461"/>
      <c r="G31" s="76"/>
      <c r="H31" s="247"/>
      <c r="I31" s="462"/>
      <c r="J31" s="462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D32" s="461"/>
      <c r="E32" s="461"/>
      <c r="F32" s="461"/>
      <c r="G32" s="76"/>
      <c r="H32" s="247"/>
      <c r="I32" s="462"/>
      <c r="J32" s="462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61"/>
      <c r="E33" s="461"/>
      <c r="F33" s="461"/>
      <c r="G33" s="76"/>
      <c r="H33" s="247"/>
      <c r="I33" s="462"/>
      <c r="J33" s="462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2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4"/>
      <c r="J35" s="514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2" t="s">
        <v>13</v>
      </c>
      <c r="K37" s="513"/>
      <c r="L37" s="143">
        <f>SUM(L18:L36)</f>
        <v>463.3</v>
      </c>
      <c r="M37" s="63">
        <f>SUM(P18:P36)</f>
        <v>142.31</v>
      </c>
      <c r="N37" s="133">
        <f>M37/L37</f>
        <v>0.30716598316425642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463.3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41.697000000000003</v>
      </c>
    </row>
    <row r="41" spans="1:18" ht="20.149999999999999" customHeight="1" thickBot="1" x14ac:dyDescent="0.5">
      <c r="B41" s="10" t="s">
        <v>700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504.99700000000001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690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2:F22"/>
    <mergeCell ref="I22:J22"/>
    <mergeCell ref="D25:F25"/>
    <mergeCell ref="I25:J25"/>
    <mergeCell ref="D28:F28"/>
    <mergeCell ref="I28:J28"/>
    <mergeCell ref="I17:J17"/>
    <mergeCell ref="D21:F21"/>
    <mergeCell ref="I21:J21"/>
    <mergeCell ref="D18:F18"/>
    <mergeCell ref="I18:J18"/>
    <mergeCell ref="D17:F17"/>
    <mergeCell ref="D20:F20"/>
    <mergeCell ref="I20:J20"/>
    <mergeCell ref="I19:J19"/>
    <mergeCell ref="D19:F19"/>
    <mergeCell ref="J37:K37"/>
    <mergeCell ref="J39:K39"/>
    <mergeCell ref="J41:K41"/>
    <mergeCell ref="I35:J35"/>
    <mergeCell ref="D33:F33"/>
    <mergeCell ref="I33:J33"/>
    <mergeCell ref="D32:F32"/>
    <mergeCell ref="I32:J32"/>
    <mergeCell ref="I23:J23"/>
    <mergeCell ref="I26:J26"/>
    <mergeCell ref="D27:F27"/>
    <mergeCell ref="D24:F24"/>
    <mergeCell ref="D23:F23"/>
    <mergeCell ref="D26:F26"/>
    <mergeCell ref="I27:J27"/>
    <mergeCell ref="I24:J24"/>
    <mergeCell ref="D30:F30"/>
    <mergeCell ref="I30:J30"/>
    <mergeCell ref="D31:F31"/>
    <mergeCell ref="I31:J31"/>
    <mergeCell ref="D29:F29"/>
    <mergeCell ref="I29:J29"/>
  </mergeCells>
  <hyperlinks>
    <hyperlink ref="B15" r:id="rId1" xr:uid="{9505B723-BB31-4FE3-846C-0E2BA54E91B8}"/>
  </hyperlinks>
  <pageMargins left="0.74803149606299213" right="0" top="0" bottom="0" header="0" footer="0"/>
  <pageSetup paperSize="9" scale="71" orientation="portrait" r:id="rId2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614</v>
      </c>
      <c r="J10" s="24" t="s">
        <v>27</v>
      </c>
      <c r="K10" s="475">
        <v>202003454</v>
      </c>
      <c r="L10" s="476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>WaterWay Point                                            83 Punggol Central #02-20/21 Singapore 828761                               (DRINK STALL)</v>
      </c>
      <c r="G11" s="481"/>
      <c r="H11" s="482"/>
      <c r="J11" s="26" t="s">
        <v>9</v>
      </c>
      <c r="K11" s="504" t="s">
        <v>613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324</v>
      </c>
      <c r="D18" s="461" t="e">
        <f>VLOOKUP(C18,'Sales Master'!B$3:D$530,2,)</f>
        <v>#N/A</v>
      </c>
      <c r="E18" s="461"/>
      <c r="F18" s="461"/>
      <c r="G18" s="17">
        <v>1</v>
      </c>
      <c r="H18" s="56" t="e">
        <f>VLOOKUP(C18,'Sales Master'!$B$3:$F$2413,5,0)</f>
        <v>#N/A</v>
      </c>
      <c r="I18" s="491" t="e">
        <f>VLOOKUP(C18,'Sales Master'!$B$3:$E$2413,4,0)</f>
        <v>#N/A</v>
      </c>
      <c r="J18" s="491"/>
      <c r="K18" s="30" t="e">
        <f>VLOOKUP(C18,'Sales Master'!B$3:AO$530,40,0)</f>
        <v>#N/A</v>
      </c>
      <c r="L18" s="64" t="e">
        <f>K18*G18</f>
        <v>#N/A</v>
      </c>
      <c r="M18" s="65"/>
      <c r="N18" s="145" t="e">
        <f>VLOOKUP(C18,'Sales Master'!$B$3:$DA$2272,104,0)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91"/>
      <c r="J22" s="491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64"/>
      <c r="M25" s="65"/>
      <c r="N25" s="93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64"/>
      <c r="M27" s="65"/>
      <c r="N27" s="93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64"/>
      <c r="M29" s="65"/>
    </row>
    <row r="30" spans="2:16" ht="20.149999999999999" customHeight="1" x14ac:dyDescent="0.45">
      <c r="B30" s="29"/>
      <c r="C30" s="17"/>
      <c r="D30" s="501"/>
      <c r="E30" s="501"/>
      <c r="F30" s="501"/>
      <c r="G30" s="17"/>
      <c r="H30" s="56"/>
      <c r="I30" s="491"/>
      <c r="J30" s="491"/>
      <c r="K30" s="30"/>
      <c r="L30" s="64"/>
      <c r="M30" s="65"/>
    </row>
    <row r="31" spans="2:16" ht="20.149999999999999" customHeight="1" x14ac:dyDescent="0.45">
      <c r="B31" s="29"/>
      <c r="C31" s="17"/>
      <c r="D31" s="501"/>
      <c r="E31" s="501"/>
      <c r="F31" s="501"/>
      <c r="G31" s="17"/>
      <c r="H31" s="56"/>
      <c r="I31" s="491"/>
      <c r="J31" s="491"/>
      <c r="K31" s="30"/>
      <c r="L31" s="64"/>
      <c r="M31" s="65"/>
    </row>
    <row r="32" spans="2:16" ht="20.149999999999999" customHeight="1" x14ac:dyDescent="0.45">
      <c r="B32" s="29"/>
      <c r="C32" s="17"/>
      <c r="D32" s="501"/>
      <c r="E32" s="501"/>
      <c r="F32" s="501"/>
      <c r="G32" s="17"/>
      <c r="H32" s="56"/>
      <c r="I32" s="491"/>
      <c r="J32" s="491"/>
      <c r="K32" s="30"/>
      <c r="L32" s="64"/>
      <c r="M32" s="65"/>
    </row>
    <row r="33" spans="2:13" ht="20.149999999999999" customHeight="1" x14ac:dyDescent="0.45">
      <c r="B33" s="29"/>
      <c r="C33" s="17"/>
      <c r="G33" s="17"/>
      <c r="H33" s="56"/>
      <c r="I33" s="473"/>
      <c r="J33" s="473"/>
      <c r="K33" s="30"/>
      <c r="L33" s="64"/>
      <c r="M33" s="65"/>
    </row>
    <row r="34" spans="2:13" ht="20.149999999999999" customHeight="1" x14ac:dyDescent="0.45">
      <c r="B34" s="29"/>
      <c r="C34" s="17"/>
      <c r="G34" s="17"/>
      <c r="H34" s="56"/>
      <c r="I34" s="473"/>
      <c r="J34" s="473"/>
      <c r="K34" s="30"/>
      <c r="L34" s="64"/>
      <c r="M34" s="65"/>
    </row>
    <row r="35" spans="2:13" ht="20.149999999999999" customHeight="1" x14ac:dyDescent="0.45">
      <c r="B35" s="29"/>
      <c r="C35" s="17"/>
      <c r="G35" s="17"/>
      <c r="H35" s="56"/>
      <c r="I35" s="473"/>
      <c r="J35" s="473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73"/>
      <c r="J36" s="473"/>
      <c r="K36" s="30"/>
      <c r="L36" s="64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55" t="s">
        <v>13</v>
      </c>
      <c r="K39" s="456"/>
      <c r="L39" s="38" t="e">
        <f>SUM(L17:L38)</f>
        <v>#N/A</v>
      </c>
      <c r="M39" s="63">
        <f>341.3-365.3</f>
        <v>-24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690</v>
      </c>
      <c r="C45" s="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I24:J24"/>
    <mergeCell ref="D20:F20"/>
    <mergeCell ref="I20:J20"/>
    <mergeCell ref="D21:F21"/>
    <mergeCell ref="I21:J21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2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616</v>
      </c>
      <c r="J10" s="24" t="s">
        <v>27</v>
      </c>
      <c r="K10" s="493">
        <v>202003211</v>
      </c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 xml:space="preserve">FORK &amp; SPOON - Dessert                          470, Lorong 6 Toa Payoh #02-70 Singapore 310470.                                            </v>
      </c>
      <c r="G11" s="481"/>
      <c r="H11" s="482"/>
      <c r="J11" s="26" t="s">
        <v>9</v>
      </c>
      <c r="K11" s="504">
        <v>44168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607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341</v>
      </c>
      <c r="D18" s="461" t="e">
        <f>VLOOKUP(C18,'Sales Master'!B$3:D$530,2,)</f>
        <v>#N/A</v>
      </c>
      <c r="E18" s="461"/>
      <c r="F18" s="461"/>
      <c r="G18" s="17">
        <v>40</v>
      </c>
      <c r="H18" s="56" t="e">
        <f>VLOOKUP(C18,'Sales Master'!$B$3:$F$2481,5,0)</f>
        <v>#N/A</v>
      </c>
      <c r="I18" s="491" t="e">
        <f>VLOOKUP(C18,'Sales Master'!$B$3:$E$2481,4,0)</f>
        <v>#N/A</v>
      </c>
      <c r="J18" s="491"/>
      <c r="K18" s="30" t="e">
        <f>VLOOKUP(C18,'Sales Master'!$B$3:$J$530,9,0)</f>
        <v>#N/A</v>
      </c>
      <c r="L18" s="31" t="e">
        <f>K18*G18</f>
        <v>#N/A</v>
      </c>
    </row>
    <row r="19" spans="2:15" ht="20.149999999999999" customHeight="1" x14ac:dyDescent="0.45">
      <c r="B19" s="29"/>
      <c r="C19" s="17" t="s">
        <v>343</v>
      </c>
      <c r="D19" s="461" t="e">
        <f>VLOOKUP(C19,'Sales Master'!B$3:D$530,2,)</f>
        <v>#N/A</v>
      </c>
      <c r="E19" s="461"/>
      <c r="F19" s="461"/>
      <c r="G19" s="17">
        <v>5</v>
      </c>
      <c r="H19" s="56" t="str">
        <f>VLOOKUP(C19,'[4]Sales Master'!B$3:F$736,5,0)</f>
        <v>1 kg</v>
      </c>
      <c r="I19" s="491" t="str">
        <f>VLOOKUP(C19,'[4]Sales Master'!B$3:E$736,4,0)</f>
        <v>-</v>
      </c>
      <c r="J19" s="491"/>
      <c r="K19" s="30" t="e">
        <f>VLOOKUP(C19,'Sales Master'!$B$3:$J$530,9,0)</f>
        <v>#N/A</v>
      </c>
      <c r="L19" s="31" t="e">
        <f>K19*G19</f>
        <v>#N/A</v>
      </c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31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73"/>
      <c r="J28" s="473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73"/>
      <c r="J29" s="473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73"/>
      <c r="J30" s="473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90"/>
      <c r="E37" s="490"/>
      <c r="F37" s="490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 t="e">
        <f>SUM(L17:L37)</f>
        <v>#N/A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 t="e">
        <f>L39-L40</f>
        <v>#N/A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 t="e">
        <f>L41+L42</f>
        <v>#N/A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J41:K41"/>
    <mergeCell ref="J43:K43"/>
    <mergeCell ref="I26:J26"/>
    <mergeCell ref="I27:J27"/>
    <mergeCell ref="I28:J28"/>
    <mergeCell ref="I29:J29"/>
    <mergeCell ref="I30:J3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C000"/>
    <pageSetUpPr fitToPage="1"/>
  </sheetPr>
  <dimension ref="B1:P46"/>
  <sheetViews>
    <sheetView topLeftCell="A2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618</v>
      </c>
      <c r="J10" s="24" t="s">
        <v>27</v>
      </c>
      <c r="K10" s="493">
        <v>202501141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Drink &amp; Dessert Stall                      11, Rivervale Crescent                              #01-01/02/03 Rivervale Mall Singapore 545082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4500320177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7" t="s">
        <v>3</v>
      </c>
      <c r="D17" s="538" t="s">
        <v>4</v>
      </c>
      <c r="E17" s="528"/>
      <c r="F17" s="539"/>
      <c r="G17" s="15" t="s">
        <v>405</v>
      </c>
      <c r="H17" s="7" t="s">
        <v>53</v>
      </c>
      <c r="I17" s="470" t="s">
        <v>284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58">
        <v>520704</v>
      </c>
      <c r="C18" s="212" t="str">
        <f>VLOOKUP(B18,'Sales Master'!A$3:B$530,2,0)</f>
        <v>M1014</v>
      </c>
      <c r="D18" s="501" t="str">
        <f>VLOOKUP(C18,'Sales Master'!B$3:D$530,2,)</f>
        <v>Chendol 浆咯</v>
      </c>
      <c r="E18" s="501"/>
      <c r="F18" s="501"/>
      <c r="G18" s="76">
        <v>1</v>
      </c>
      <c r="H18" s="209" t="str">
        <f>VLOOKUP(C18,'Sales Master'!$B$3:$E$530,4,0)</f>
        <v>DO!</v>
      </c>
      <c r="I18" s="574" t="str">
        <f>VLOOKUP(C18,'Sales Master'!$B$3:F$530,5,0)</f>
        <v>NW(2.2:0.8) 3kg/ Bag包</v>
      </c>
      <c r="J18" s="574"/>
      <c r="K18" s="83">
        <f>VLOOKUP(C18,'Sales Master'!B$3:I$530,8,0)</f>
        <v>6.5</v>
      </c>
      <c r="L18" s="127">
        <f t="shared" ref="L18" si="0">K18*G18</f>
        <v>6.5</v>
      </c>
      <c r="M18" s="65"/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" customHeight="1" x14ac:dyDescent="0.45">
      <c r="B19" s="58">
        <v>520737</v>
      </c>
      <c r="C19" s="212" t="str">
        <f>VLOOKUP(B19,'Sales Master'!A$3:B$530,2,0)</f>
        <v>M1004</v>
      </c>
      <c r="D19" s="501" t="str">
        <f>VLOOKUP(C19,'Sales Master'!B$3:D$530,2,)</f>
        <v>Mango Puree 芒果酱</v>
      </c>
      <c r="E19" s="501"/>
      <c r="F19" s="501"/>
      <c r="G19" s="76">
        <v>2</v>
      </c>
      <c r="H19" s="209" t="str">
        <f>VLOOKUP(C19,'Sales Master'!$B$3:$E$530,4,0)</f>
        <v>DO!</v>
      </c>
      <c r="I19" s="574" t="str">
        <f>VLOOKUP(C19,'Sales Master'!$B$3:F$530,5,0)</f>
        <v>1 KG/ Box盒</v>
      </c>
      <c r="J19" s="574"/>
      <c r="K19" s="83">
        <f>VLOOKUP(C19,'Sales Master'!B$3:I$530,8,0)</f>
        <v>7</v>
      </c>
      <c r="L19" s="127">
        <f t="shared" ref="L19" si="3">K19*G19</f>
        <v>14</v>
      </c>
      <c r="M19" s="65"/>
      <c r="N19" s="145">
        <f>VLOOKUP(C19,'Sales Master'!$B$3:$DA$2272,104,0)</f>
        <v>2.15</v>
      </c>
      <c r="O19" s="145">
        <f t="shared" ref="O19" si="4">K19-N19</f>
        <v>4.8499999999999996</v>
      </c>
      <c r="P19" s="145">
        <f t="shared" ref="P19" si="5">O19*G19</f>
        <v>9.6999999999999993</v>
      </c>
    </row>
    <row r="20" spans="2:16" ht="20.149999999999999" customHeight="1" x14ac:dyDescent="0.45">
      <c r="B20" s="58">
        <v>520705</v>
      </c>
      <c r="C20" s="212" t="str">
        <f>VLOOKUP(B20,'Sales Master'!A$3:B$530,2,0)</f>
        <v>P3002</v>
      </c>
      <c r="D20" s="501" t="str">
        <f>VLOOKUP(C20,'Sales Master'!B$3:D$530,2,)</f>
        <v>Chin Chow  仙草</v>
      </c>
      <c r="E20" s="501"/>
      <c r="F20" s="501"/>
      <c r="G20" s="76">
        <v>1</v>
      </c>
      <c r="H20" s="209" t="str">
        <f>VLOOKUP(C20,'Sales Master'!$B$3:$E$530,4,0)</f>
        <v>TSM</v>
      </c>
      <c r="I20" s="574" t="str">
        <f>VLOOKUP(C20,'Sales Master'!$B$3:F$530,5,0)</f>
        <v>4 KG/ Pkt包</v>
      </c>
      <c r="J20" s="574"/>
      <c r="K20" s="83">
        <f>VLOOKUP(C20,'Sales Master'!B$3:I$530,8,0)</f>
        <v>6</v>
      </c>
      <c r="L20" s="127">
        <f>K20*G20</f>
        <v>6</v>
      </c>
      <c r="M20" s="65"/>
      <c r="N20" s="145">
        <f>VLOOKUP(C20,'Sales Master'!$B$3:$DA$2272,104,0)</f>
        <v>4</v>
      </c>
      <c r="O20" s="145">
        <f>K20-N20</f>
        <v>2</v>
      </c>
      <c r="P20" s="145">
        <f>O20*G20</f>
        <v>2</v>
      </c>
    </row>
    <row r="21" spans="2:16" ht="20.149999999999999" customHeight="1" x14ac:dyDescent="0.45">
      <c r="B21" s="58">
        <v>520738</v>
      </c>
      <c r="C21" s="212" t="str">
        <f>VLOOKUP(B21,'Sales Master'!A$3:B$530,2,0)</f>
        <v>P3005A</v>
      </c>
      <c r="D21" s="501" t="str">
        <f>VLOOKUP(C21,'Sales Master'!B$3:D$530,2,)</f>
        <v>Red Bean 红豆 (5.5 mm)</v>
      </c>
      <c r="E21" s="501"/>
      <c r="F21" s="501"/>
      <c r="G21" s="76">
        <v>1</v>
      </c>
      <c r="H21" s="209" t="str">
        <f>VLOOKUP(C21,'Sales Master'!$B$3:$E$530,4,0)</f>
        <v>-</v>
      </c>
      <c r="I21" s="574" t="str">
        <f>VLOOKUP(C21,'Sales Master'!$B$3:F$530,5,0)</f>
        <v>5 KG</v>
      </c>
      <c r="J21" s="574"/>
      <c r="K21" s="83">
        <f>VLOOKUP(C21,'Sales Master'!B$3:I$530,8,0)</f>
        <v>17.5</v>
      </c>
      <c r="L21" s="127">
        <f t="shared" ref="L21" si="6">K21*G21</f>
        <v>17.5</v>
      </c>
      <c r="M21" s="65"/>
      <c r="N21" s="145">
        <f>VLOOKUP(C21,'Sales Master'!$B$3:$DA$2272,104,0)</f>
        <v>12.5</v>
      </c>
      <c r="O21" s="145">
        <f t="shared" ref="O21" si="7">K21-N21</f>
        <v>5</v>
      </c>
      <c r="P21" s="145">
        <f t="shared" ref="P21" si="8">O21*G21</f>
        <v>5</v>
      </c>
    </row>
    <row r="22" spans="2:16" ht="20.149999999999999" customHeight="1" x14ac:dyDescent="0.45">
      <c r="B22" s="58">
        <v>520724</v>
      </c>
      <c r="C22" s="212" t="str">
        <f>VLOOKUP(B22,'Sales Master'!A$3:B$530,2,0)</f>
        <v>P3009A</v>
      </c>
      <c r="D22" s="501" t="str">
        <f>VLOOKUP(C22,'Sales Master'!B$3:D$530,2,)</f>
        <v>Green Bean 绿豆</v>
      </c>
      <c r="E22" s="501"/>
      <c r="F22" s="501"/>
      <c r="G22" s="76">
        <v>1</v>
      </c>
      <c r="H22" s="209" t="str">
        <f>VLOOKUP(C22,'Sales Master'!$B$3:$E$530,4,0)</f>
        <v>-</v>
      </c>
      <c r="I22" s="574" t="str">
        <f>VLOOKUP(C22,'Sales Master'!$B$3:F$530,5,0)</f>
        <v>5 KG</v>
      </c>
      <c r="J22" s="574"/>
      <c r="K22" s="83">
        <f>VLOOKUP(C22,'Sales Master'!B$3:I$530,8,0)</f>
        <v>13</v>
      </c>
      <c r="L22" s="127">
        <f>K22*G22</f>
        <v>13</v>
      </c>
      <c r="M22" s="65"/>
      <c r="N22" s="145">
        <f>VLOOKUP(C22,'Sales Master'!$B$3:$DA$2272,104,0)</f>
        <v>8.75</v>
      </c>
      <c r="O22" s="145">
        <f>K22-N22</f>
        <v>4.25</v>
      </c>
      <c r="P22" s="145">
        <f>O22*G22</f>
        <v>4.25</v>
      </c>
    </row>
    <row r="23" spans="2:16" ht="20" customHeight="1" x14ac:dyDescent="0.45">
      <c r="B23" s="58">
        <v>520711</v>
      </c>
      <c r="C23" s="212" t="str">
        <f>VLOOKUP(B23,'Sales Master'!A$3:B$530,2,0)</f>
        <v>P4014</v>
      </c>
      <c r="D23" s="501" t="str">
        <f>VLOOKUP(C23,'Sales Master'!B$3:D$530,2,)</f>
        <v>Cream Corn 玉米浆</v>
      </c>
      <c r="E23" s="501"/>
      <c r="F23" s="501"/>
      <c r="G23" s="76">
        <v>1</v>
      </c>
      <c r="H23" s="209" t="str">
        <f>VLOOKUP(C23,'Sales Master'!$B$3:$E$530,4,0)</f>
        <v>Statue</v>
      </c>
      <c r="I23" s="574" t="str">
        <f>VLOOKUP(C23,'Sales Master'!$B$3:F$530,5,0)</f>
        <v>410 GM x 24/ Ctn箱</v>
      </c>
      <c r="J23" s="574"/>
      <c r="K23" s="83">
        <f>VLOOKUP(C23,'Sales Master'!B$3:I$530,8,0)</f>
        <v>23</v>
      </c>
      <c r="L23" s="127">
        <f>K23*G23</f>
        <v>23</v>
      </c>
      <c r="M23" s="65"/>
      <c r="N23" s="145">
        <f>VLOOKUP(C23,'Sales Master'!$B$3:$DA$2272,104,0)</f>
        <v>18</v>
      </c>
      <c r="O23" s="145">
        <f>K23-N23</f>
        <v>5</v>
      </c>
      <c r="P23" s="145">
        <f>O23*G23</f>
        <v>5</v>
      </c>
    </row>
    <row r="24" spans="2:16" ht="20" customHeight="1" x14ac:dyDescent="0.45">
      <c r="B24" s="58">
        <v>520731</v>
      </c>
      <c r="C24" s="212" t="str">
        <f>VLOOKUP(B24,'Sales Master'!A$3:B$530,2,0)</f>
        <v>P6007</v>
      </c>
      <c r="D24" s="501" t="str">
        <f>VLOOKUP(C24,'Sales Master'!B$3:D$530,2,)</f>
        <v>Pandan Leaf 班兰叶</v>
      </c>
      <c r="E24" s="501"/>
      <c r="F24" s="501"/>
      <c r="G24" s="76">
        <v>1</v>
      </c>
      <c r="H24" s="209" t="str">
        <f>VLOOKUP(C24,'Sales Master'!$B$3:$E$530,4,0)</f>
        <v>-</v>
      </c>
      <c r="I24" s="574" t="str">
        <f>VLOOKUP(C24,'Sales Master'!$B$3:F$530,5,0)</f>
        <v>1 KG</v>
      </c>
      <c r="J24" s="574"/>
      <c r="K24" s="83">
        <f>VLOOKUP(C24,'Sales Master'!B$3:I$530,8,0)</f>
        <v>1.8</v>
      </c>
      <c r="L24" s="127">
        <f>K24*G24</f>
        <v>1.8</v>
      </c>
      <c r="M24" s="65"/>
      <c r="N24" s="145">
        <f>VLOOKUP(C24,'Sales Master'!$B$3:$DA$2272,104,0)</f>
        <v>1.1000000000000001</v>
      </c>
      <c r="O24" s="145">
        <f>K24-N24</f>
        <v>0.7</v>
      </c>
      <c r="P24" s="145">
        <f>O24*G24</f>
        <v>0.7</v>
      </c>
    </row>
    <row r="25" spans="2:16" ht="20.149999999999999" customHeight="1" x14ac:dyDescent="0.45">
      <c r="B25" s="58">
        <v>520740</v>
      </c>
      <c r="C25" s="212" t="str">
        <f>VLOOKUP(B25,'Sales Master'!A$3:B$530,2,0)</f>
        <v>M1037A</v>
      </c>
      <c r="D25" s="501" t="str">
        <f>VLOOKUP(C25,'Sales Master'!B$3:D$530,2,)</f>
        <v>Rock Sugar Syrup 冰糖浆</v>
      </c>
      <c r="E25" s="501"/>
      <c r="F25" s="501"/>
      <c r="G25" s="76">
        <v>2</v>
      </c>
      <c r="H25" s="209" t="str">
        <f>VLOOKUP(C25,'Sales Master'!$B$3:$E$530,4,0)</f>
        <v>DO!</v>
      </c>
      <c r="I25" s="574" t="str">
        <f>VLOOKUP(C25,'Sales Master'!$B$3:F$530,5,0)</f>
        <v>5 KG</v>
      </c>
      <c r="J25" s="574"/>
      <c r="K25" s="83">
        <f>VLOOKUP(C25,'Sales Master'!B$3:I$530,8,0)</f>
        <v>10.5</v>
      </c>
      <c r="L25" s="127">
        <f t="shared" ref="L25" si="9">K25*G25</f>
        <v>21</v>
      </c>
      <c r="M25" s="65"/>
      <c r="N25" s="145">
        <f>VLOOKUP(C25,'Sales Master'!$B$3:$DA$2272,104,0)</f>
        <v>5.86</v>
      </c>
      <c r="O25" s="145">
        <f t="shared" ref="O25" si="10">K25-N25</f>
        <v>4.6399999999999997</v>
      </c>
      <c r="P25" s="145">
        <f t="shared" ref="P25" si="11">O25*G25</f>
        <v>9.2799999999999994</v>
      </c>
    </row>
    <row r="26" spans="2:16" ht="20" customHeight="1" x14ac:dyDescent="0.45">
      <c r="B26" s="243"/>
      <c r="C26" s="212"/>
      <c r="D26" s="501"/>
      <c r="E26" s="501"/>
      <c r="F26" s="501"/>
      <c r="G26" s="76"/>
      <c r="H26" s="209"/>
      <c r="I26" s="574"/>
      <c r="J26" s="574"/>
      <c r="K26" s="83"/>
      <c r="L26" s="127"/>
      <c r="M26" s="65"/>
      <c r="N26" s="145"/>
      <c r="O26" s="145"/>
      <c r="P26" s="145"/>
    </row>
    <row r="27" spans="2:16" ht="20.149999999999999" customHeight="1" x14ac:dyDescent="0.45">
      <c r="B27" s="243"/>
      <c r="C27" s="212"/>
      <c r="D27" s="501"/>
      <c r="E27" s="501"/>
      <c r="F27" s="501"/>
      <c r="G27" s="76"/>
      <c r="H27" s="209"/>
      <c r="I27" s="574"/>
      <c r="J27" s="574"/>
      <c r="K27" s="83"/>
      <c r="L27" s="127"/>
      <c r="M27" s="65"/>
      <c r="N27" s="145"/>
      <c r="O27" s="145"/>
      <c r="P27" s="145"/>
    </row>
    <row r="28" spans="2:16" ht="20.5" customHeight="1" x14ac:dyDescent="0.45">
      <c r="B28" s="243"/>
      <c r="C28" s="212"/>
      <c r="D28" s="501"/>
      <c r="E28" s="501"/>
      <c r="F28" s="501"/>
      <c r="G28" s="76"/>
      <c r="H28" s="209"/>
      <c r="I28" s="574"/>
      <c r="J28" s="574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43"/>
      <c r="C29" s="212"/>
      <c r="D29" s="501"/>
      <c r="E29" s="501"/>
      <c r="F29" s="501"/>
      <c r="G29" s="76"/>
      <c r="H29" s="209"/>
      <c r="I29" s="574"/>
      <c r="J29" s="574"/>
      <c r="K29" s="83"/>
      <c r="L29" s="127"/>
      <c r="M29" s="65"/>
      <c r="N29" s="145"/>
      <c r="O29" s="145"/>
      <c r="P29" s="145"/>
    </row>
    <row r="30" spans="2:16" ht="20.5" customHeight="1" x14ac:dyDescent="0.45">
      <c r="B30" s="243"/>
      <c r="C30" s="212"/>
      <c r="D30" s="501"/>
      <c r="E30" s="501"/>
      <c r="F30" s="501"/>
      <c r="G30" s="76"/>
      <c r="H30" s="209"/>
      <c r="I30" s="574"/>
      <c r="J30" s="574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2"/>
      <c r="D31" s="147"/>
      <c r="E31" s="147"/>
      <c r="F31" s="147"/>
      <c r="G31" s="76"/>
      <c r="H31" s="209"/>
      <c r="I31" s="196"/>
      <c r="J31" s="196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SUM(L18:L33)</f>
        <v>102.8</v>
      </c>
      <c r="M34" s="63">
        <f>SUM(P18:P28)</f>
        <v>39.989999999999995</v>
      </c>
      <c r="N34" s="133">
        <f>M34/L34</f>
        <v>0.38900778210116727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102.8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9.2519999999999989</v>
      </c>
    </row>
    <row r="38" spans="2:14" ht="20.149999999999999" customHeight="1" thickBot="1" x14ac:dyDescent="0.5">
      <c r="B38" s="10" t="s">
        <v>700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112.05199999999999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17:F17"/>
    <mergeCell ref="D20:F20"/>
    <mergeCell ref="D23:F23"/>
    <mergeCell ref="D22:F22"/>
    <mergeCell ref="I20:J20"/>
    <mergeCell ref="D18:F18"/>
    <mergeCell ref="I17:J17"/>
    <mergeCell ref="I18:J18"/>
    <mergeCell ref="I19:J19"/>
    <mergeCell ref="J38:K38"/>
    <mergeCell ref="J34:K34"/>
    <mergeCell ref="I21:J21"/>
    <mergeCell ref="J36:K36"/>
    <mergeCell ref="I29:J29"/>
    <mergeCell ref="I28:J28"/>
    <mergeCell ref="I26:J26"/>
    <mergeCell ref="I30:J30"/>
    <mergeCell ref="I25:J25"/>
    <mergeCell ref="I27:J27"/>
    <mergeCell ref="I22:J22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D30:F30"/>
    <mergeCell ref="D24:F24"/>
    <mergeCell ref="D29:F29"/>
    <mergeCell ref="D19:F19"/>
    <mergeCell ref="D25:F25"/>
    <mergeCell ref="D27:F27"/>
    <mergeCell ref="D21:F21"/>
    <mergeCell ref="D26:F26"/>
  </mergeCells>
  <hyperlinks>
    <hyperlink ref="B15" r:id="rId1" xr:uid="{87F2FF0E-85B0-4AEE-814D-23B3A8BBB568}"/>
  </hyperlinks>
  <pageMargins left="0.51181102362204722" right="0.39370078740157483" top="0" bottom="0" header="0.31496062992125984" footer="0.31496062992125984"/>
  <pageSetup paperSize="9" scale="75" orientation="portrait" r:id="rId2"/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3C9F7-8D13-4587-9C32-636D9914C2F5}">
  <sheetPr>
    <tabColor rgb="FFFFC000"/>
    <pageSetUpPr fitToPage="1"/>
  </sheetPr>
  <dimension ref="B1:P46"/>
  <sheetViews>
    <sheetView topLeftCell="A31" workbookViewId="0">
      <selection activeCell="L25" sqref="L2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618</v>
      </c>
      <c r="J10" s="24" t="s">
        <v>27</v>
      </c>
      <c r="K10" s="493">
        <v>202410082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Drink &amp; Dessert Stall                      11, Rivervale Crescent                              #01-01/02/03 Rivervale Mall Singapore 545082</v>
      </c>
      <c r="G11" s="481"/>
      <c r="H11" s="482"/>
      <c r="J11" s="26" t="s">
        <v>9</v>
      </c>
      <c r="K11" s="495">
        <v>45568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2183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7" t="s">
        <v>3</v>
      </c>
      <c r="D17" s="538" t="s">
        <v>4</v>
      </c>
      <c r="E17" s="528"/>
      <c r="F17" s="539"/>
      <c r="G17" s="15" t="s">
        <v>405</v>
      </c>
      <c r="H17" s="7" t="s">
        <v>53</v>
      </c>
      <c r="I17" s="470" t="s">
        <v>284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43" t="s">
        <v>70</v>
      </c>
      <c r="C18" s="212" t="e">
        <f>VLOOKUP(B18,'Sales Master'!A$3:B$530,2,0)</f>
        <v>#N/A</v>
      </c>
      <c r="D18" s="501" t="e">
        <f>VLOOKUP(C18,'Sales Master'!B$3:D$530,2,)</f>
        <v>#N/A</v>
      </c>
      <c r="E18" s="501"/>
      <c r="F18" s="501"/>
      <c r="G18" s="76">
        <v>1</v>
      </c>
      <c r="H18" s="209" t="e">
        <f>VLOOKUP(C18,'Sales Master'!$B$3:$E$530,4,0)</f>
        <v>#N/A</v>
      </c>
      <c r="I18" s="574" t="e">
        <f>VLOOKUP(C18,'Sales Master'!$B$3:F$530,5,0)</f>
        <v>#N/A</v>
      </c>
      <c r="J18" s="574"/>
      <c r="K18" s="83" t="e">
        <f>VLOOKUP(C18,'Sales Master'!B$3:I$530,8,0)</f>
        <v>#N/A</v>
      </c>
      <c r="L18" s="127" t="e">
        <f t="shared" ref="L18" si="0">K18*G18</f>
        <v>#N/A</v>
      </c>
      <c r="M18" s="65"/>
      <c r="N18" s="145" t="e">
        <f>VLOOKUP(C18,'Sales Master'!$B$3:$DA$2272,104,0)</f>
        <v>#N/A</v>
      </c>
      <c r="O18" s="145" t="e">
        <f t="shared" ref="O18" si="1">K18-N18</f>
        <v>#N/A</v>
      </c>
      <c r="P18" s="145" t="e">
        <f t="shared" ref="P18" si="2">O18*G18</f>
        <v>#N/A</v>
      </c>
    </row>
    <row r="19" spans="2:16" ht="20" customHeight="1" x14ac:dyDescent="0.45">
      <c r="B19" s="243" t="s">
        <v>55</v>
      </c>
      <c r="C19" s="212" t="e">
        <f>VLOOKUP(B19,'Sales Master'!A$3:B$530,2,0)</f>
        <v>#N/A</v>
      </c>
      <c r="D19" s="501" t="e">
        <f>VLOOKUP(C19,'Sales Master'!B$3:D$530,2,)</f>
        <v>#N/A</v>
      </c>
      <c r="E19" s="501"/>
      <c r="F19" s="501"/>
      <c r="G19" s="76">
        <v>1</v>
      </c>
      <c r="H19" s="209" t="e">
        <f>VLOOKUP(C19,'Sales Master'!$B$3:$E$530,4,0)</f>
        <v>#N/A</v>
      </c>
      <c r="I19" s="574" t="e">
        <f>VLOOKUP(C19,'Sales Master'!$B$3:F$530,5,0)</f>
        <v>#N/A</v>
      </c>
      <c r="J19" s="574"/>
      <c r="K19" s="83" t="e">
        <f>VLOOKUP(C19,'Sales Master'!B$3:I$530,8,0)</f>
        <v>#N/A</v>
      </c>
      <c r="L19" s="127" t="e">
        <f>K19*G19</f>
        <v>#N/A</v>
      </c>
      <c r="M19" s="65"/>
      <c r="N19" s="145" t="e">
        <f>VLOOKUP(C19,'Sales Master'!$B$3:$DA$2272,104,0)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43" t="s">
        <v>60</v>
      </c>
      <c r="C20" s="212" t="e">
        <f>VLOOKUP(B20,'Sales Master'!A$3:B$530,2,0)</f>
        <v>#N/A</v>
      </c>
      <c r="D20" s="501" t="e">
        <f>VLOOKUP(C20,'Sales Master'!B$3:D$530,2,)</f>
        <v>#N/A</v>
      </c>
      <c r="E20" s="501"/>
      <c r="F20" s="501"/>
      <c r="G20" s="76">
        <v>4</v>
      </c>
      <c r="H20" s="209" t="e">
        <f>VLOOKUP(C20,'Sales Master'!$B$3:$E$530,4,0)</f>
        <v>#N/A</v>
      </c>
      <c r="I20" s="574" t="e">
        <f>VLOOKUP(C20,'Sales Master'!$B$3:F$530,5,0)</f>
        <v>#N/A</v>
      </c>
      <c r="J20" s="574"/>
      <c r="K20" s="83" t="e">
        <f>VLOOKUP(C20,'Sales Master'!B$3:I$530,8,0)</f>
        <v>#N/A</v>
      </c>
      <c r="L20" s="127" t="e">
        <f>K20*G20</f>
        <v>#N/A</v>
      </c>
      <c r="M20" s="65"/>
      <c r="N20" s="145" t="e">
        <f>VLOOKUP(C20,'Sales Master'!$B$3:$DA$2272,104,0)</f>
        <v>#N/A</v>
      </c>
      <c r="O20" s="145" t="e">
        <f>K20-N20</f>
        <v>#N/A</v>
      </c>
      <c r="P20" s="145" t="e">
        <f>O20*G20</f>
        <v>#N/A</v>
      </c>
    </row>
    <row r="21" spans="2:16" ht="20.149999999999999" customHeight="1" x14ac:dyDescent="0.45">
      <c r="B21" s="243" t="s">
        <v>61</v>
      </c>
      <c r="C21" s="212" t="e">
        <f>VLOOKUP(B21,'Sales Master'!A$3:B$530,2,0)</f>
        <v>#N/A</v>
      </c>
      <c r="D21" s="501" t="e">
        <f>VLOOKUP(C21,'Sales Master'!B$3:D$530,2,)</f>
        <v>#N/A</v>
      </c>
      <c r="E21" s="501"/>
      <c r="F21" s="501"/>
      <c r="G21" s="76">
        <v>1</v>
      </c>
      <c r="H21" s="209" t="e">
        <f>VLOOKUP(C21,'Sales Master'!$B$3:$E$530,4,0)</f>
        <v>#N/A</v>
      </c>
      <c r="I21" s="574" t="e">
        <f>VLOOKUP(C21,'Sales Master'!$B$3:F$530,5,0)</f>
        <v>#N/A</v>
      </c>
      <c r="J21" s="574"/>
      <c r="K21" s="83" t="e">
        <f>VLOOKUP(C21,'Sales Master'!B$3:I$530,8,0)</f>
        <v>#N/A</v>
      </c>
      <c r="L21" s="127" t="e">
        <f>K21*G21</f>
        <v>#N/A</v>
      </c>
      <c r="M21" s="65"/>
      <c r="N21" s="145" t="e">
        <f>VLOOKUP(C21,'Sales Master'!$B$3:$DA$2272,104,0)</f>
        <v>#N/A</v>
      </c>
      <c r="O21" s="145" t="e">
        <f>K21-N21</f>
        <v>#N/A</v>
      </c>
      <c r="P21" s="145" t="e">
        <f>O21*G21</f>
        <v>#N/A</v>
      </c>
    </row>
    <row r="22" spans="2:16" ht="20.149999999999999" customHeight="1" x14ac:dyDescent="0.45">
      <c r="B22" s="243" t="s">
        <v>71</v>
      </c>
      <c r="C22" s="212" t="e">
        <f>VLOOKUP(B22,'Sales Master'!A$3:B$530,2,0)</f>
        <v>#N/A</v>
      </c>
      <c r="D22" s="501" t="e">
        <f>VLOOKUP(C22,'Sales Master'!B$3:D$530,2,)</f>
        <v>#N/A</v>
      </c>
      <c r="E22" s="501"/>
      <c r="F22" s="501"/>
      <c r="G22" s="76">
        <v>1</v>
      </c>
      <c r="H22" s="209" t="e">
        <f>VLOOKUP(C22,'Sales Master'!$B$3:$E$530,4,0)</f>
        <v>#N/A</v>
      </c>
      <c r="I22" s="574" t="e">
        <f>VLOOKUP(C22,'Sales Master'!$B$3:F$530,5,0)</f>
        <v>#N/A</v>
      </c>
      <c r="J22" s="574"/>
      <c r="K22" s="83" t="e">
        <f>VLOOKUP(C22,'Sales Master'!B$3:I$530,8,0)</f>
        <v>#N/A</v>
      </c>
      <c r="L22" s="127" t="e">
        <f>K22*G22</f>
        <v>#N/A</v>
      </c>
      <c r="M22" s="65"/>
      <c r="N22" s="145" t="e">
        <f>VLOOKUP(C22,'Sales Master'!$B$3:$DA$2272,104,0)</f>
        <v>#N/A</v>
      </c>
      <c r="O22" s="145" t="e">
        <f>K22-N22</f>
        <v>#N/A</v>
      </c>
      <c r="P22" s="145" t="e">
        <f>O22*G22</f>
        <v>#N/A</v>
      </c>
    </row>
    <row r="23" spans="2:16" ht="20" customHeight="1" x14ac:dyDescent="0.45">
      <c r="B23" s="243" t="s">
        <v>72</v>
      </c>
      <c r="C23" s="212" t="e">
        <f>VLOOKUP(B23,'Sales Master'!A$3:B$530,2,0)</f>
        <v>#N/A</v>
      </c>
      <c r="D23" s="501" t="e">
        <f>VLOOKUP(C23,'Sales Master'!B$3:D$530,2,)</f>
        <v>#N/A</v>
      </c>
      <c r="E23" s="501"/>
      <c r="F23" s="501"/>
      <c r="G23" s="76">
        <v>1</v>
      </c>
      <c r="H23" s="209" t="e">
        <f>VLOOKUP(C23,'Sales Master'!$B$3:$E$530,4,0)</f>
        <v>#N/A</v>
      </c>
      <c r="I23" s="574" t="e">
        <f>VLOOKUP(C23,'Sales Master'!$B$3:F$530,5,0)</f>
        <v>#N/A</v>
      </c>
      <c r="J23" s="574"/>
      <c r="K23" s="83" t="e">
        <f>VLOOKUP(C23,'Sales Master'!B$3:I$530,8,0)</f>
        <v>#N/A</v>
      </c>
      <c r="L23" s="127" t="e">
        <f t="shared" ref="L23" si="3">K23*G23</f>
        <v>#N/A</v>
      </c>
      <c r="M23" s="65"/>
      <c r="N23" s="145" t="e">
        <f>VLOOKUP(C23,'Sales Master'!$B$3:$DA$2272,104,0)</f>
        <v>#N/A</v>
      </c>
      <c r="O23" s="145" t="e">
        <f t="shared" ref="O23" si="4">K23-N23</f>
        <v>#N/A</v>
      </c>
      <c r="P23" s="145" t="e">
        <f t="shared" ref="P23" si="5">O23*G23</f>
        <v>#N/A</v>
      </c>
    </row>
    <row r="24" spans="2:16" ht="20" customHeight="1" x14ac:dyDescent="0.45">
      <c r="B24" s="243" t="s">
        <v>65</v>
      </c>
      <c r="C24" s="212" t="e">
        <f>VLOOKUP(B24,'Sales Master'!A$3:B$530,2,0)</f>
        <v>#N/A</v>
      </c>
      <c r="D24" s="501" t="e">
        <f>VLOOKUP(C24,'Sales Master'!B$3:D$530,2,)</f>
        <v>#N/A</v>
      </c>
      <c r="E24" s="501"/>
      <c r="F24" s="501"/>
      <c r="G24" s="76">
        <v>1</v>
      </c>
      <c r="H24" s="209" t="e">
        <f>VLOOKUP(C24,'Sales Master'!$B$3:$E$530,4,0)</f>
        <v>#N/A</v>
      </c>
      <c r="I24" s="574" t="e">
        <f>VLOOKUP(C24,'Sales Master'!$B$3:F$530,5,0)</f>
        <v>#N/A</v>
      </c>
      <c r="J24" s="574"/>
      <c r="K24" s="83" t="e">
        <f>VLOOKUP(C24,'Sales Master'!B$3:I$530,8,0)</f>
        <v>#N/A</v>
      </c>
      <c r="L24" s="127" t="e">
        <f t="shared" ref="L24" si="6">K24*G24</f>
        <v>#N/A</v>
      </c>
      <c r="M24" s="65"/>
      <c r="N24" s="145" t="e">
        <f>VLOOKUP(C24,'Sales Master'!$B$3:$DA$2272,104,0)</f>
        <v>#N/A</v>
      </c>
      <c r="O24" s="145" t="e">
        <f t="shared" ref="O24" si="7">K24-N24</f>
        <v>#N/A</v>
      </c>
      <c r="P24" s="145" t="e">
        <f t="shared" ref="P24" si="8">O24*G24</f>
        <v>#N/A</v>
      </c>
    </row>
    <row r="25" spans="2:16" ht="20.149999999999999" customHeight="1" x14ac:dyDescent="0.45">
      <c r="B25" s="243" t="s">
        <v>104</v>
      </c>
      <c r="C25" s="212" t="e">
        <f>VLOOKUP(B25,'Sales Master'!A$3:B$530,2,0)</f>
        <v>#N/A</v>
      </c>
      <c r="D25" s="501" t="e">
        <f>VLOOKUP(C25,'Sales Master'!B$3:D$530,2,)</f>
        <v>#N/A</v>
      </c>
      <c r="E25" s="501"/>
      <c r="F25" s="501"/>
      <c r="G25" s="76">
        <v>2</v>
      </c>
      <c r="H25" s="209" t="e">
        <f>VLOOKUP(C25,'Sales Master'!$B$3:$E$530,4,0)</f>
        <v>#N/A</v>
      </c>
      <c r="I25" s="574" t="e">
        <f>VLOOKUP(C25,'Sales Master'!$B$3:F$530,5,0)</f>
        <v>#N/A</v>
      </c>
      <c r="J25" s="574"/>
      <c r="K25" s="83" t="e">
        <f>VLOOKUP(C25,'Sales Master'!B$3:I$530,8,0)</f>
        <v>#N/A</v>
      </c>
      <c r="L25" s="127" t="e">
        <f t="shared" ref="L25" si="9">K25*G25</f>
        <v>#N/A</v>
      </c>
      <c r="M25" s="65"/>
      <c r="N25" s="145" t="e">
        <f>VLOOKUP(C25,'Sales Master'!$B$3:$DA$2272,104,0)</f>
        <v>#N/A</v>
      </c>
      <c r="O25" s="145" t="e">
        <f t="shared" ref="O25" si="10">K25-N25</f>
        <v>#N/A</v>
      </c>
      <c r="P25" s="145" t="e">
        <f t="shared" ref="P25" si="11">O25*G25</f>
        <v>#N/A</v>
      </c>
    </row>
    <row r="26" spans="2:16" ht="20" customHeight="1" x14ac:dyDescent="0.45">
      <c r="B26" s="243"/>
      <c r="C26" s="212"/>
      <c r="D26" s="501"/>
      <c r="E26" s="501"/>
      <c r="F26" s="501"/>
      <c r="G26" s="76"/>
      <c r="H26" s="209"/>
      <c r="I26" s="574"/>
      <c r="J26" s="574"/>
      <c r="K26" s="83"/>
      <c r="L26" s="127"/>
      <c r="M26" s="65"/>
      <c r="N26" s="145"/>
      <c r="O26" s="145"/>
      <c r="P26" s="145"/>
    </row>
    <row r="27" spans="2:16" ht="20.5" customHeight="1" x14ac:dyDescent="0.45">
      <c r="B27" s="243"/>
      <c r="C27" s="212"/>
      <c r="D27" s="501"/>
      <c r="E27" s="501"/>
      <c r="F27" s="501"/>
      <c r="G27" s="76"/>
      <c r="H27" s="209"/>
      <c r="I27" s="574"/>
      <c r="J27" s="574"/>
      <c r="K27" s="83"/>
      <c r="L27" s="127"/>
      <c r="M27" s="65"/>
      <c r="N27" s="145"/>
      <c r="O27" s="145"/>
      <c r="P27" s="145"/>
    </row>
    <row r="28" spans="2:16" ht="20.149999999999999" customHeight="1" x14ac:dyDescent="0.45">
      <c r="B28" s="242"/>
      <c r="C28" s="212"/>
      <c r="D28" s="501"/>
      <c r="E28" s="501"/>
      <c r="F28" s="501"/>
      <c r="G28" s="76"/>
      <c r="H28" s="209"/>
      <c r="I28" s="574"/>
      <c r="J28" s="574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43"/>
      <c r="C29" s="212"/>
      <c r="D29" s="501"/>
      <c r="E29" s="501"/>
      <c r="F29" s="501"/>
      <c r="G29" s="76"/>
      <c r="H29" s="209"/>
      <c r="I29" s="574"/>
      <c r="J29" s="574"/>
      <c r="K29" s="83"/>
      <c r="L29" s="127"/>
      <c r="M29" s="65"/>
      <c r="N29" s="145"/>
      <c r="O29" s="145"/>
      <c r="P29" s="145"/>
    </row>
    <row r="30" spans="2:16" ht="20.5" customHeight="1" x14ac:dyDescent="0.45">
      <c r="B30" s="243"/>
      <c r="C30" s="212"/>
      <c r="D30" s="501"/>
      <c r="E30" s="501"/>
      <c r="F30" s="501"/>
      <c r="G30" s="76"/>
      <c r="H30" s="209"/>
      <c r="I30" s="574"/>
      <c r="J30" s="574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2"/>
      <c r="D31" s="147"/>
      <c r="E31" s="147"/>
      <c r="F31" s="147"/>
      <c r="G31" s="76"/>
      <c r="H31" s="209"/>
      <c r="I31" s="196"/>
      <c r="J31" s="196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 t="e">
        <f>SUM(L18:L33)</f>
        <v>#N/A</v>
      </c>
      <c r="M34" s="63" t="e">
        <f>SUM(P18:P30)</f>
        <v>#N/A</v>
      </c>
      <c r="N34" s="133" t="e">
        <f>M34/L34</f>
        <v>#N/A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 t="e">
        <f>L34*K35</f>
        <v>#N/A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 t="e">
        <f>L34-L35</f>
        <v>#N/A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 t="e">
        <f>L36*K37</f>
        <v>#N/A</v>
      </c>
    </row>
    <row r="38" spans="2:14" ht="20.149999999999999" customHeight="1" thickBot="1" x14ac:dyDescent="0.5">
      <c r="B38" s="10" t="s">
        <v>700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 t="e">
        <f>L36+L37</f>
        <v>#N/A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J38:K38"/>
    <mergeCell ref="D28:F28"/>
    <mergeCell ref="I28:J28"/>
    <mergeCell ref="D29:F29"/>
    <mergeCell ref="I29:J29"/>
    <mergeCell ref="D30:F30"/>
    <mergeCell ref="I30:J30"/>
  </mergeCells>
  <hyperlinks>
    <hyperlink ref="B15" r:id="rId1" xr:uid="{ECE8B697-6F4F-4363-87DD-6BD477543F54}"/>
  </hyperlinks>
  <pageMargins left="0.51181102362204722" right="0.39370078740157483" top="0" bottom="0" header="0.31496062992125984" footer="0.31496062992125984"/>
  <pageSetup paperSize="9" scale="77" orientation="portrait" horizontalDpi="300" verticalDpi="300" r:id="rId2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4"/>
  <sheetViews>
    <sheetView topLeftCell="D2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621</v>
      </c>
      <c r="J10" s="24" t="s">
        <v>27</v>
      </c>
      <c r="K10" s="493">
        <v>202411564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Tim Sum                                    258 Pasir Ris Street 21,  Loyang Point, #02-313,  Singapore 510258</v>
      </c>
      <c r="G11" s="481"/>
      <c r="H11" s="482"/>
      <c r="J11" s="26" t="s">
        <v>9</v>
      </c>
      <c r="K11" s="495">
        <v>45623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2228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6</v>
      </c>
      <c r="H18" s="85" t="str">
        <f>VLOOKUP(C18,'Sales Master'!$B$3:$F$2481,5,0)</f>
        <v>(1L x 12bag)/箱</v>
      </c>
      <c r="I18" s="497" t="str">
        <f>VLOOKUP(C18,'Sales Master'!$B$3:$E$2481,4,0)</f>
        <v>Kara UHT</v>
      </c>
      <c r="J18" s="497"/>
      <c r="K18" s="30">
        <f>VLOOKUP(C18,'Sales Master'!$B$3:$J$530,9,0)</f>
        <v>42</v>
      </c>
      <c r="L18" s="31">
        <f>K18*G18</f>
        <v>252</v>
      </c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37.200000000000017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85"/>
      <c r="I19" s="497"/>
      <c r="J19" s="497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91"/>
      <c r="J23" s="491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56"/>
      <c r="I24" s="491"/>
      <c r="J24" s="491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56"/>
      <c r="I25" s="491"/>
      <c r="J25" s="491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56"/>
      <c r="I26" s="491"/>
      <c r="J26" s="491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SUM(L17:L30)</f>
        <v>252</v>
      </c>
      <c r="M32" s="63">
        <f>SUM(P18:P24)-L32*0.02</f>
        <v>32.160000000000018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252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22.68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274.68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17:J17"/>
    <mergeCell ref="D19:F19"/>
    <mergeCell ref="I19:J19"/>
    <mergeCell ref="D23:F23"/>
    <mergeCell ref="I23:J23"/>
    <mergeCell ref="D18:F18"/>
    <mergeCell ref="I18:J18"/>
    <mergeCell ref="D17:F17"/>
    <mergeCell ref="D25:F25"/>
    <mergeCell ref="I25:J25"/>
    <mergeCell ref="J34:K34"/>
    <mergeCell ref="J36:K36"/>
    <mergeCell ref="D26:F26"/>
    <mergeCell ref="I26:J26"/>
    <mergeCell ref="D28:F28"/>
    <mergeCell ref="D29:F29"/>
    <mergeCell ref="D30:F30"/>
    <mergeCell ref="J32:K32"/>
  </mergeCells>
  <pageMargins left="0.51181102362204722" right="0.39370078740157483" top="0" bottom="0" header="0.31496062992125984" footer="0.31496062992125984"/>
  <pageSetup paperSize="9" scale="78" orientation="portrait" horizontalDpi="300" verticalDpi="3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D9" zoomScaleNormal="100" workbookViewId="0">
      <selection activeCell="N17" sqref="N17:P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644</v>
      </c>
      <c r="J10" s="24" t="s">
        <v>27</v>
      </c>
      <c r="K10" s="493">
        <v>202306530</v>
      </c>
      <c r="L10" s="494"/>
    </row>
    <row r="11" spans="2:14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8202 3599                                                                             3 Yung Sheng Road, #03-170            Singapore 618499</v>
      </c>
      <c r="G11" s="481"/>
      <c r="H11" s="482"/>
      <c r="J11" s="26" t="s">
        <v>9</v>
      </c>
      <c r="K11" s="495">
        <v>45101</v>
      </c>
      <c r="L11" s="496"/>
    </row>
    <row r="12" spans="2:14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49" t="s">
        <v>1090</v>
      </c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58"/>
      <c r="C18" s="212" t="s">
        <v>828</v>
      </c>
      <c r="D18" s="461" t="str">
        <f>VLOOKUP(C18,'Sales Master'!B$3:D$530,2,)</f>
        <v>Atap Seeds in Syrup 亚嗒子</v>
      </c>
      <c r="E18" s="461"/>
      <c r="F18" s="461"/>
      <c r="G18" s="76">
        <v>2</v>
      </c>
      <c r="H18" s="186" t="str">
        <f>VLOOKUP(C18,'Sales Master'!$B$3:$F$2413,5,0)</f>
        <v>NW(2.1:0.9) 3kg/ Bag包</v>
      </c>
      <c r="I18" s="497" t="str">
        <f>VLOOKUP(C18,'Sales Master'!$B$3:$E$2413,4,0)</f>
        <v>DO!</v>
      </c>
      <c r="J18" s="497"/>
      <c r="K18" s="83">
        <f>VLOOKUP(C18,'Sales Master'!$B$4:$BR$2433,69,0)</f>
        <v>12</v>
      </c>
      <c r="L18" s="84">
        <f>K18*G18</f>
        <v>24</v>
      </c>
      <c r="M18" s="65"/>
      <c r="N18" s="145">
        <f>VLOOKUP(C18,'Sales Master'!$B$3:$DA$2272,104,0)</f>
        <v>9.6</v>
      </c>
      <c r="O18" s="145">
        <f>K18-N18</f>
        <v>2.4000000000000004</v>
      </c>
      <c r="P18" s="145">
        <f>O18*G18</f>
        <v>4.8000000000000007</v>
      </c>
      <c r="R18" s="151">
        <v>1</v>
      </c>
    </row>
    <row r="19" spans="2:18" ht="20.149999999999999" customHeight="1" x14ac:dyDescent="0.45">
      <c r="B19" s="58"/>
      <c r="C19" s="212" t="s">
        <v>831</v>
      </c>
      <c r="D19" s="461" t="str">
        <f>VLOOKUP(C19,'Sales Master'!B$3:D$530,2,)</f>
        <v>Chin Chow  仙草</v>
      </c>
      <c r="E19" s="461"/>
      <c r="F19" s="461"/>
      <c r="G19" s="76">
        <v>5</v>
      </c>
      <c r="H19" s="186" t="str">
        <f>VLOOKUP(C19,'Sales Master'!$B$3:$F$2413,5,0)</f>
        <v>4 KG/ Pkt包</v>
      </c>
      <c r="I19" s="497" t="str">
        <f>VLOOKUP(C19,'Sales Master'!$B$3:$E$2413,4,0)</f>
        <v>TSM</v>
      </c>
      <c r="J19" s="497"/>
      <c r="K19" s="83">
        <f>VLOOKUP(C19,'Sales Master'!$B$4:$BR$2433,69,0)</f>
        <v>6.5</v>
      </c>
      <c r="L19" s="84">
        <f>K19*G19</f>
        <v>32.5</v>
      </c>
      <c r="M19" s="65"/>
      <c r="N19" s="145">
        <f>VLOOKUP(C19,'Sales Master'!$B$3:$DA$2272,104,0)</f>
        <v>4</v>
      </c>
      <c r="O19" s="145">
        <f>K19-N19</f>
        <v>2.5</v>
      </c>
      <c r="P19" s="145">
        <f>O19*G19</f>
        <v>12.5</v>
      </c>
      <c r="R19" s="151">
        <v>1</v>
      </c>
    </row>
    <row r="20" spans="2:18" ht="20.149999999999999" customHeight="1" x14ac:dyDescent="0.45">
      <c r="B20" s="58"/>
      <c r="C20" s="212" t="s">
        <v>833</v>
      </c>
      <c r="D20" s="461" t="str">
        <f>VLOOKUP(C20,'Sales Master'!B$3:D$530,2,)</f>
        <v>GingKo Nut (Peel off) 白果仁</v>
      </c>
      <c r="E20" s="461"/>
      <c r="F20" s="461"/>
      <c r="G20" s="76">
        <v>1</v>
      </c>
      <c r="H20" s="186" t="str">
        <f>VLOOKUP(C20,'Sales Master'!$B$3:$F$2413,5,0)</f>
        <v>500GM X 24/ Ctn箱</v>
      </c>
      <c r="I20" s="497" t="str">
        <f>VLOOKUP(C20,'Sales Master'!$B$3:$E$2413,4,0)</f>
        <v>-</v>
      </c>
      <c r="J20" s="497"/>
      <c r="K20" s="83">
        <f>VLOOKUP(C20,'Sales Master'!$B$4:$BR$2433,69,0)</f>
        <v>50</v>
      </c>
      <c r="L20" s="84">
        <f>K20*G20</f>
        <v>50</v>
      </c>
      <c r="M20" s="65"/>
      <c r="N20" s="145">
        <f>VLOOKUP(C20,'Sales Master'!$B$3:$DA$2272,104,0)</f>
        <v>36</v>
      </c>
      <c r="O20" s="145">
        <f>K20-N20</f>
        <v>14</v>
      </c>
      <c r="P20" s="145">
        <f>O20*G20</f>
        <v>14</v>
      </c>
      <c r="R20" s="151">
        <v>1</v>
      </c>
    </row>
    <row r="21" spans="2:18" ht="20.149999999999999" customHeight="1" x14ac:dyDescent="0.45">
      <c r="B21" s="58"/>
      <c r="C21" s="212"/>
      <c r="D21" s="461"/>
      <c r="E21" s="461"/>
      <c r="F21" s="461"/>
      <c r="G21" s="76"/>
      <c r="H21" s="186"/>
      <c r="I21" s="497"/>
      <c r="J21" s="497"/>
      <c r="K21" s="83"/>
      <c r="L21" s="84"/>
      <c r="M21" s="65"/>
      <c r="N21" s="145"/>
      <c r="O21" s="145"/>
      <c r="P21" s="145"/>
      <c r="R21" s="151"/>
    </row>
    <row r="22" spans="2:18" ht="20.149999999999999" customHeight="1" x14ac:dyDescent="0.45">
      <c r="B22" s="58"/>
      <c r="C22" s="212"/>
      <c r="D22" s="461"/>
      <c r="E22" s="461"/>
      <c r="F22" s="461"/>
      <c r="G22" s="76"/>
      <c r="H22" s="186"/>
      <c r="I22" s="497"/>
      <c r="J22" s="497"/>
      <c r="K22" s="83"/>
      <c r="L22" s="84"/>
      <c r="M22" s="65"/>
      <c r="N22" s="145"/>
      <c r="O22" s="145"/>
      <c r="P22" s="145"/>
      <c r="R22" s="151"/>
    </row>
    <row r="23" spans="2:18" ht="20.149999999999999" customHeight="1" x14ac:dyDescent="0.45">
      <c r="B23" s="58"/>
      <c r="G23" s="76"/>
      <c r="H23" s="186"/>
      <c r="I23" s="208"/>
      <c r="J23" s="208"/>
      <c r="K23" s="83"/>
      <c r="L23" s="84"/>
      <c r="M23" s="65"/>
      <c r="N23" s="145"/>
      <c r="O23" s="145"/>
      <c r="P23" s="145"/>
      <c r="R23" s="151"/>
    </row>
    <row r="24" spans="2:18" ht="20.149999999999999" customHeight="1" x14ac:dyDescent="0.45">
      <c r="B24" s="58"/>
      <c r="C24" s="17"/>
      <c r="D24" s="461"/>
      <c r="E24" s="461"/>
      <c r="F24" s="461"/>
      <c r="G24" s="76"/>
      <c r="H24" s="186"/>
      <c r="I24" s="497"/>
      <c r="J24" s="497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212"/>
      <c r="D26" s="461"/>
      <c r="E26" s="461"/>
      <c r="F26" s="461"/>
      <c r="G26" s="76"/>
      <c r="H26" s="186"/>
      <c r="I26" s="497"/>
      <c r="J26" s="497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7"/>
      <c r="D27" s="461"/>
      <c r="E27" s="461"/>
      <c r="F27" s="461"/>
      <c r="G27" s="76"/>
      <c r="H27" s="56"/>
      <c r="I27" s="491"/>
      <c r="J27" s="491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8" t="s">
        <v>1244</v>
      </c>
      <c r="G28" s="76"/>
      <c r="H28" s="56"/>
      <c r="I28" s="56"/>
      <c r="J28" s="56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1383</v>
      </c>
      <c r="G29" s="76"/>
      <c r="H29" s="56"/>
      <c r="I29" s="56"/>
      <c r="J29" s="56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1330</v>
      </c>
      <c r="G30" s="76"/>
      <c r="H30" s="56"/>
      <c r="I30" s="56"/>
      <c r="J30" s="56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7"/>
      <c r="D31" s="461"/>
      <c r="E31" s="461"/>
      <c r="F31" s="461"/>
      <c r="G31" s="76"/>
      <c r="H31" s="56"/>
      <c r="I31" s="491"/>
      <c r="J31" s="491"/>
      <c r="K31" s="83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147"/>
      <c r="E32" s="147"/>
      <c r="F32" s="147"/>
      <c r="G32" s="193"/>
      <c r="H32" s="56"/>
      <c r="I32" s="56"/>
      <c r="J32" s="56"/>
      <c r="K32" s="190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153"/>
      <c r="G33" s="76"/>
      <c r="H33" s="56"/>
      <c r="I33" s="56"/>
      <c r="J33" s="56"/>
      <c r="K33" s="150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45"/>
      <c r="E34" s="445"/>
      <c r="F34" s="445"/>
      <c r="G34" s="76"/>
      <c r="H34" s="183"/>
      <c r="I34" s="462"/>
      <c r="J34" s="462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SUM(L17:L35)</f>
        <v>106.5</v>
      </c>
      <c r="M36" s="63">
        <f>SUM(P18:P36)</f>
        <v>31.3</v>
      </c>
      <c r="N36" s="133">
        <f>M36/L36</f>
        <v>0.29389671361502351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106.5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9.5849999999999991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116.08499999999999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690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3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</mergeCells>
  <conditionalFormatting sqref="C32">
    <cfRule type="duplicateValues" dxfId="130" priority="1"/>
  </conditionalFormatting>
  <conditionalFormatting sqref="C32:C33">
    <cfRule type="duplicateValues" dxfId="129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14" zoomScaleNormal="100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669</v>
      </c>
      <c r="J10" s="24" t="s">
        <v>27</v>
      </c>
      <c r="K10" s="493">
        <v>202306279</v>
      </c>
      <c r="L10" s="494"/>
    </row>
    <row r="11" spans="2:12" ht="20.149999999999999" customHeight="1" x14ac:dyDescent="0.45">
      <c r="B11" s="477" t="s">
        <v>1686</v>
      </c>
      <c r="C11" s="478"/>
      <c r="D11" s="479"/>
      <c r="E11" s="25"/>
      <c r="F11" s="480" t="str">
        <f>VLOOKUP(H10,'Delivery Location'!A$4:N$460,2,0)</f>
        <v>JD Central Kitchen                                               15 Woodlands Loop #02-21/22       Singapore 738322</v>
      </c>
      <c r="G11" s="481"/>
      <c r="H11" s="482"/>
      <c r="J11" s="26" t="s">
        <v>9</v>
      </c>
      <c r="K11" s="495">
        <v>45090</v>
      </c>
      <c r="L11" s="496"/>
    </row>
    <row r="12" spans="2:12" ht="20.149999999999999" customHeight="1" x14ac:dyDescent="0.45">
      <c r="B12" s="488" t="s">
        <v>1687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459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704</v>
      </c>
      <c r="K15" s="468" t="s">
        <v>34</v>
      </c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1033</v>
      </c>
      <c r="D18" s="461" t="str">
        <f>VLOOKUP(C18,'Sales Master'!B$3:D$530,2,)</f>
        <v>Pandan Leaf 班兰叶</v>
      </c>
      <c r="E18" s="461"/>
      <c r="F18" s="461"/>
      <c r="G18" s="17">
        <v>1</v>
      </c>
      <c r="H18" s="208" t="str">
        <f>VLOOKUP(C18,'Sales Master'!$B$3:$E$530,4,0)</f>
        <v>-</v>
      </c>
      <c r="I18" s="516" t="str">
        <f>VLOOKUP(C18,'Sales Master'!$B$3:F$530,5,0)</f>
        <v>1 KG</v>
      </c>
      <c r="J18" s="516"/>
      <c r="K18" s="80">
        <v>3</v>
      </c>
      <c r="L18" s="64">
        <f>K18*G18</f>
        <v>3</v>
      </c>
      <c r="N18" s="145">
        <f>VLOOKUP(C18,'Sales Master'!$B$3:$DA$2272,104,0)</f>
        <v>1.1000000000000001</v>
      </c>
      <c r="O18" s="145">
        <f>K18-N18</f>
        <v>1.9</v>
      </c>
      <c r="P18" s="145">
        <f>O18*G18</f>
        <v>1.9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8"/>
      <c r="I19" s="497"/>
      <c r="J19" s="497"/>
      <c r="K19" s="214"/>
      <c r="L19" s="64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80"/>
      <c r="L27" s="64"/>
    </row>
    <row r="28" spans="2:17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3</v>
      </c>
      <c r="M30" s="63">
        <f>SUM(P18:P27)</f>
        <v>1.9</v>
      </c>
      <c r="N30" s="133">
        <f>M30/L30</f>
        <v>0.6333333333333333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0.27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460</v>
      </c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714</v>
      </c>
      <c r="L40" s="37"/>
    </row>
    <row r="41" spans="2:12" ht="20.149999999999999" customHeight="1" x14ac:dyDescent="0.45">
      <c r="B41" s="36" t="s">
        <v>25</v>
      </c>
      <c r="J41" s="19" t="s">
        <v>715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30"/>
  <sheetViews>
    <sheetView topLeftCell="A29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N8" s="19" t="s">
        <v>1524</v>
      </c>
    </row>
    <row r="9" spans="2:14" ht="19" thickBot="1" x14ac:dyDescent="0.5">
      <c r="B9" s="18"/>
      <c r="N9" s="19" t="s">
        <v>1724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670</v>
      </c>
      <c r="J10" s="24" t="s">
        <v>27</v>
      </c>
      <c r="K10" s="493">
        <v>202412469</v>
      </c>
      <c r="L10" s="494"/>
      <c r="N10" s="19" t="s">
        <v>1361</v>
      </c>
    </row>
    <row r="11" spans="2:14" ht="20.149999999999999" customHeight="1" x14ac:dyDescent="0.45">
      <c r="B11" s="477" t="s">
        <v>1768</v>
      </c>
      <c r="C11" s="478"/>
      <c r="D11" s="479"/>
      <c r="E11" s="25"/>
      <c r="F11" s="480" t="str">
        <f>VLOOKUP(H10,'Delivery Location'!A$4:N$460,2,0)</f>
        <v>KOPI TAN                                                        Bukit Canberra Hawker Centre #01-23         21 Canberra Link, Singapore 752350</v>
      </c>
      <c r="G11" s="481"/>
      <c r="H11" s="482"/>
      <c r="J11" s="26" t="s">
        <v>9</v>
      </c>
      <c r="K11" s="495">
        <v>45647</v>
      </c>
      <c r="L11" s="496"/>
      <c r="N11" s="19" t="s">
        <v>1726</v>
      </c>
    </row>
    <row r="12" spans="2:14" ht="20.149999999999999" customHeight="1" x14ac:dyDescent="0.45">
      <c r="B12" s="488" t="s">
        <v>1739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1740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1727</v>
      </c>
      <c r="L13" s="464"/>
    </row>
    <row r="14" spans="2:14" ht="20.149999999999999" customHeight="1" x14ac:dyDescent="0.45">
      <c r="B14" s="488" t="s">
        <v>1741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49" t="s">
        <v>1090</v>
      </c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2" t="s">
        <v>953</v>
      </c>
      <c r="D18" s="461" t="str">
        <f>VLOOKUP(C18,'Sales Master'!B$3:D$530,2,)</f>
        <v>Aloe Vera 芦荟 10mm</v>
      </c>
      <c r="E18" s="461"/>
      <c r="F18" s="461"/>
      <c r="G18" s="76">
        <v>6</v>
      </c>
      <c r="H18" s="186" t="str">
        <f>VLOOKUP(C18,'Sales Master'!$B$3:$F$2413,5,0)</f>
        <v>1 Can X A10</v>
      </c>
      <c r="I18" s="497" t="str">
        <f>VLOOKUP(C18,'Sales Master'!$B$3:$E$2413,4,0)</f>
        <v>Chefs</v>
      </c>
      <c r="J18" s="497"/>
      <c r="K18" s="30">
        <f>VLOOKUP(C18,'Sales Master'!B$3:AQ$530,42,0)</f>
        <v>11.5</v>
      </c>
      <c r="L18" s="64">
        <f t="shared" ref="L18" si="0">K18*G18</f>
        <v>69</v>
      </c>
      <c r="M18" s="65"/>
    </row>
    <row r="19" spans="2:16" ht="20.149999999999999" customHeight="1" x14ac:dyDescent="0.45">
      <c r="B19" s="58"/>
      <c r="C19" s="212"/>
      <c r="D19" s="461"/>
      <c r="E19" s="461"/>
      <c r="F19" s="461"/>
      <c r="G19" s="76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58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58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58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58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186"/>
      <c r="I26" s="208"/>
      <c r="J26" s="208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2"/>
      <c r="D27" s="461"/>
      <c r="E27" s="461"/>
      <c r="F27" s="461"/>
      <c r="G27" s="17"/>
      <c r="H27" s="186"/>
      <c r="I27" s="208"/>
      <c r="J27" s="208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12"/>
      <c r="D28" s="147"/>
      <c r="E28" s="147"/>
      <c r="F28" s="147"/>
      <c r="G28" s="17"/>
      <c r="H28" s="186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44"/>
      <c r="D29" s="461"/>
      <c r="E29" s="461"/>
      <c r="F29" s="461"/>
      <c r="G29" s="76"/>
      <c r="H29" s="211"/>
      <c r="I29" s="462"/>
      <c r="J29" s="462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44"/>
      <c r="G31" s="76"/>
      <c r="H31" s="211"/>
      <c r="I31" s="209"/>
      <c r="J31" s="209"/>
      <c r="K31" s="83"/>
      <c r="L31" s="64"/>
      <c r="M31" s="65"/>
      <c r="N31" s="145"/>
      <c r="O31" s="145"/>
      <c r="P31" s="145"/>
    </row>
    <row r="32" spans="2:16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SUM(L18:L32)</f>
        <v>69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69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6.21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75.209999999999994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690</v>
      </c>
      <c r="L39" s="37"/>
    </row>
    <row r="40" spans="2:14" ht="20.149999999999999" customHeight="1" x14ac:dyDescent="0.45">
      <c r="B40" s="245"/>
      <c r="L40" s="37"/>
    </row>
    <row r="41" spans="2:14" ht="20.149999999999999" customHeight="1" x14ac:dyDescent="0.45">
      <c r="B41" s="245"/>
      <c r="L41" s="37"/>
    </row>
    <row r="42" spans="2:14" ht="20.149999999999999" customHeight="1" x14ac:dyDescent="0.45">
      <c r="B42" s="245"/>
      <c r="L42" s="37"/>
    </row>
    <row r="43" spans="2:14" ht="20.149999999999999" customHeight="1" x14ac:dyDescent="0.45">
      <c r="B43" s="245"/>
      <c r="L43" s="37"/>
    </row>
    <row r="44" spans="2:14" ht="20.149999999999999" customHeight="1" x14ac:dyDescent="0.45">
      <c r="B44" s="245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3"/>
    </row>
    <row r="56" spans="43:43" x14ac:dyDescent="0.45">
      <c r="AQ56" s="19">
        <v>3.5</v>
      </c>
    </row>
    <row r="230" spans="11:11" x14ac:dyDescent="0.45">
      <c r="K230" s="19">
        <v>3</v>
      </c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0:J20"/>
    <mergeCell ref="D21:F21"/>
    <mergeCell ref="I21:J21"/>
    <mergeCell ref="D20:F20"/>
    <mergeCell ref="D22:F22"/>
    <mergeCell ref="D27:F27"/>
    <mergeCell ref="K15:L15"/>
    <mergeCell ref="J37:K37"/>
    <mergeCell ref="J33:K33"/>
    <mergeCell ref="J35:K35"/>
    <mergeCell ref="D17:F17"/>
    <mergeCell ref="I18:J18"/>
    <mergeCell ref="D18:F18"/>
    <mergeCell ref="I17:J17"/>
    <mergeCell ref="I23:J23"/>
    <mergeCell ref="D23:F23"/>
    <mergeCell ref="I22:J22"/>
    <mergeCell ref="D29:F29"/>
    <mergeCell ref="I29:J29"/>
    <mergeCell ref="D19:F19"/>
    <mergeCell ref="I19:J19"/>
  </mergeCells>
  <conditionalFormatting sqref="C18:C26">
    <cfRule type="duplicateValues" dxfId="128" priority="2711"/>
  </conditionalFormatting>
  <conditionalFormatting sqref="C26:C27">
    <cfRule type="duplicateValues" dxfId="127" priority="2"/>
  </conditionalFormatting>
  <conditionalFormatting sqref="C31 C29">
    <cfRule type="duplicateValues" dxfId="126" priority="2603"/>
  </conditionalFormatting>
  <pageMargins left="0.51181102362204722" right="0.23622047244094491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12" zoomScaleNormal="100" workbookViewId="0">
      <selection activeCell="K38" sqref="K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676</v>
      </c>
      <c r="J10" s="24" t="s">
        <v>27</v>
      </c>
      <c r="K10" s="493">
        <v>202308557</v>
      </c>
      <c r="L10" s="494"/>
    </row>
    <row r="11" spans="2:12" ht="20.149999999999999" customHeight="1" x14ac:dyDescent="0.45">
      <c r="B11" s="477" t="s">
        <v>1758</v>
      </c>
      <c r="C11" s="478"/>
      <c r="D11" s="479"/>
      <c r="E11" s="25"/>
      <c r="F11" s="480" t="str">
        <f>VLOOKUP(H10,'Delivery Location'!A$4:N$460,2,0)</f>
        <v>Sugary Empire Pte Ltd                                                                                        824 Tampines St 81 #01-38 Singapore</v>
      </c>
      <c r="G11" s="481"/>
      <c r="H11" s="482"/>
      <c r="J11" s="26" t="s">
        <v>9</v>
      </c>
      <c r="K11" s="495">
        <v>45161</v>
      </c>
      <c r="L11" s="496"/>
    </row>
    <row r="12" spans="2:12" ht="20.149999999999999" customHeight="1" x14ac:dyDescent="0.45">
      <c r="B12" s="488" t="s">
        <v>1759</v>
      </c>
      <c r="C12" s="449"/>
      <c r="D12" s="489"/>
      <c r="E12" s="25"/>
      <c r="F12" s="483"/>
      <c r="G12" s="484"/>
      <c r="H12" s="485"/>
      <c r="J12" s="26" t="s">
        <v>145</v>
      </c>
      <c r="K12" s="575" t="s">
        <v>34</v>
      </c>
      <c r="L12" s="576"/>
    </row>
    <row r="13" spans="2:12" ht="20.149999999999999" customHeight="1" x14ac:dyDescent="0.45">
      <c r="B13" s="488" t="s">
        <v>1760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43"/>
      <c r="C18" s="212" t="s">
        <v>745</v>
      </c>
      <c r="D18" s="564" t="str">
        <f>VLOOKUP(C18,'Sales Master'!B$3:D$530,2,)</f>
        <v>RICE BALL (WHITE - RED BEAN 红豆)</v>
      </c>
      <c r="E18" s="564"/>
      <c r="F18" s="564"/>
      <c r="G18" s="76">
        <v>5</v>
      </c>
      <c r="H18" s="183" t="str">
        <f>VLOOKUP(C18,'Sales Master'!$B$3:$F$2413,5,0)</f>
        <v>15 PCS/ Pkt包</v>
      </c>
      <c r="I18" s="462" t="str">
        <f>VLOOKUP(C18,'Sales Master'!$B$3:$E$2413,4,0)</f>
        <v>TYC</v>
      </c>
      <c r="J18" s="462"/>
      <c r="K18" s="83">
        <f>VLOOKUP(C18,'Sales Master'!$B$3:$V$3002,21,0)</f>
        <v>0</v>
      </c>
      <c r="L18" s="84">
        <f>K18*G18</f>
        <v>0</v>
      </c>
      <c r="M18" s="65"/>
      <c r="N18" s="145">
        <f>VLOOKUP(C18,'Sales Master'!$B$3:$DA$2272,104,0)</f>
        <v>1.92</v>
      </c>
      <c r="O18" s="145">
        <f>K18-N18</f>
        <v>-1.92</v>
      </c>
      <c r="P18" s="145">
        <f>O18*G18</f>
        <v>-9.6</v>
      </c>
      <c r="R18" s="63">
        <f>N18*G18*0.07</f>
        <v>0.67200000000000004</v>
      </c>
    </row>
    <row r="19" spans="2:18" ht="20.149999999999999" customHeight="1" x14ac:dyDescent="0.45">
      <c r="B19" s="243"/>
      <c r="C19" s="212" t="s">
        <v>1135</v>
      </c>
      <c r="D19" s="461" t="str">
        <f>VLOOKUP(C19,'Sales Master'!B$3:D$530,2,)</f>
        <v>Cold Bean Curd Powder 豆花粉</v>
      </c>
      <c r="E19" s="461"/>
      <c r="F19" s="461"/>
      <c r="G19" s="76">
        <v>1</v>
      </c>
      <c r="H19" s="183" t="str">
        <f>VLOOKUP(C19,'Sales Master'!$B$3:$F$2413,5,0)</f>
        <v>1 KG</v>
      </c>
      <c r="I19" s="462" t="str">
        <f>VLOOKUP(C19,'Sales Master'!$B$3:$E$2413,4,0)</f>
        <v>TOP</v>
      </c>
      <c r="J19" s="462"/>
      <c r="K19" s="83">
        <f>VLOOKUP(C19,'Sales Master'!$B$3:$V$3002,21,0)</f>
        <v>0</v>
      </c>
      <c r="L19" s="84">
        <f>K19*G19</f>
        <v>0</v>
      </c>
      <c r="M19" s="65"/>
      <c r="N19" s="145">
        <f>VLOOKUP(C19,'Sales Master'!$B$3:$DA$2272,104,0)</f>
        <v>12</v>
      </c>
      <c r="O19" s="145">
        <f>K19-N19</f>
        <v>-12</v>
      </c>
      <c r="P19" s="145">
        <f>O19*G19</f>
        <v>-12</v>
      </c>
      <c r="R19" s="63"/>
    </row>
    <row r="20" spans="2:18" ht="19.5" customHeight="1" x14ac:dyDescent="0.45">
      <c r="B20" s="243"/>
      <c r="C20" s="212" t="s">
        <v>822</v>
      </c>
      <c r="D20" s="498" t="str">
        <f>VLOOKUP(C20,'Sales Master'!B$3:D$530,2,)</f>
        <v>Red Tea Jelly Powder 红茶果冻粉</v>
      </c>
      <c r="E20" s="498"/>
      <c r="F20" s="498"/>
      <c r="G20" s="76">
        <v>1</v>
      </c>
      <c r="H20" s="183" t="str">
        <f>VLOOKUP(C20,'Sales Master'!$B$3:$F$2413,5,0)</f>
        <v>1 KG</v>
      </c>
      <c r="I20" s="462" t="str">
        <f>VLOOKUP(C20,'Sales Master'!$B$3:$E$2413,4,0)</f>
        <v>TAIWAN</v>
      </c>
      <c r="J20" s="462"/>
      <c r="K20" s="83">
        <f>VLOOKUP(C20,'Sales Master'!$B$3:$V$3002,21,0)</f>
        <v>15</v>
      </c>
      <c r="L20" s="84">
        <f>K20*G20</f>
        <v>15</v>
      </c>
      <c r="M20" s="65"/>
      <c r="N20" s="145">
        <f>VLOOKUP(C20,'Sales Master'!$B$3:$DA$2272,104,0)</f>
        <v>11.8</v>
      </c>
      <c r="O20" s="145">
        <f>K20-N20</f>
        <v>3.1999999999999993</v>
      </c>
      <c r="P20" s="145">
        <f>O20*G20</f>
        <v>3.1999999999999993</v>
      </c>
      <c r="R20" s="63"/>
    </row>
    <row r="21" spans="2:18" ht="20.149999999999999" customHeight="1" x14ac:dyDescent="0.45">
      <c r="B21" s="243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M21" s="65"/>
      <c r="N21" s="145"/>
      <c r="O21" s="145"/>
      <c r="P21" s="145"/>
      <c r="R21" s="63"/>
    </row>
    <row r="22" spans="2:18" ht="20.149999999999999" customHeight="1" x14ac:dyDescent="0.45">
      <c r="B22" s="243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M22" s="65"/>
      <c r="N22" s="145"/>
      <c r="O22" s="145"/>
      <c r="P22" s="145"/>
      <c r="R22" s="63"/>
    </row>
    <row r="23" spans="2:18" ht="20.149999999999999" customHeight="1" x14ac:dyDescent="0.45">
      <c r="B23" s="243"/>
      <c r="C23" s="212"/>
      <c r="D23" s="461"/>
      <c r="E23" s="461"/>
      <c r="F23" s="461"/>
      <c r="G23" s="76"/>
      <c r="H23" s="183"/>
      <c r="I23" s="462"/>
      <c r="J23" s="462"/>
      <c r="K23" s="83"/>
      <c r="L23" s="84"/>
      <c r="M23" s="65"/>
      <c r="N23" s="145"/>
      <c r="O23" s="145"/>
      <c r="P23" s="145"/>
      <c r="R23" s="63"/>
    </row>
    <row r="24" spans="2:18" ht="20.149999999999999" customHeight="1" x14ac:dyDescent="0.45">
      <c r="B24" s="243"/>
      <c r="C24" s="212"/>
      <c r="D24" s="461"/>
      <c r="E24" s="461"/>
      <c r="F24" s="461"/>
      <c r="G24" s="76"/>
      <c r="H24" s="183"/>
      <c r="I24" s="462"/>
      <c r="J24" s="462"/>
      <c r="K24" s="83"/>
      <c r="L24" s="84"/>
      <c r="M24" s="65"/>
      <c r="N24" s="145"/>
      <c r="O24" s="145"/>
      <c r="P24" s="145"/>
      <c r="R24" s="63"/>
    </row>
    <row r="25" spans="2:18" ht="20.149999999999999" customHeight="1" x14ac:dyDescent="0.45">
      <c r="B25" s="243"/>
      <c r="C25" s="212"/>
      <c r="D25" s="461"/>
      <c r="E25" s="461"/>
      <c r="F25" s="461"/>
      <c r="G25" s="76"/>
      <c r="H25" s="183"/>
      <c r="I25" s="462"/>
      <c r="J25" s="462"/>
      <c r="K25" s="83"/>
      <c r="L25" s="84"/>
      <c r="M25" s="65"/>
      <c r="N25" s="145"/>
      <c r="O25" s="145"/>
      <c r="P25" s="145"/>
      <c r="R25" s="63"/>
    </row>
    <row r="26" spans="2:18" ht="20.149999999999999" customHeight="1" x14ac:dyDescent="0.45">
      <c r="B26" s="243"/>
      <c r="C26" s="212"/>
      <c r="D26" s="461"/>
      <c r="E26" s="461"/>
      <c r="F26" s="461"/>
      <c r="G26" s="76"/>
      <c r="H26" s="183"/>
      <c r="I26" s="462"/>
      <c r="J26" s="462"/>
      <c r="K26" s="83"/>
      <c r="L26" s="84"/>
      <c r="M26" s="65"/>
      <c r="N26" s="145"/>
      <c r="O26" s="145"/>
      <c r="P26" s="145"/>
      <c r="R26" s="63"/>
    </row>
    <row r="27" spans="2:18" ht="20.149999999999999" customHeight="1" x14ac:dyDescent="0.45">
      <c r="B27" s="243"/>
      <c r="C27" s="212"/>
      <c r="D27" s="461"/>
      <c r="E27" s="461"/>
      <c r="F27" s="461"/>
      <c r="G27" s="76"/>
      <c r="H27" s="183"/>
      <c r="I27" s="462"/>
      <c r="J27" s="462"/>
      <c r="K27" s="83"/>
      <c r="L27" s="84"/>
      <c r="M27" s="65"/>
      <c r="N27" s="145"/>
      <c r="O27" s="145"/>
      <c r="P27" s="145"/>
      <c r="R27" s="63"/>
    </row>
    <row r="28" spans="2:18" ht="20.149999999999999" customHeight="1" x14ac:dyDescent="0.45">
      <c r="B28" s="243"/>
      <c r="C28" s="212"/>
      <c r="D28" s="461"/>
      <c r="E28" s="461"/>
      <c r="F28" s="461"/>
      <c r="G28" s="76"/>
      <c r="H28" s="183"/>
      <c r="I28" s="462"/>
      <c r="J28" s="462"/>
      <c r="K28" s="83"/>
      <c r="L28" s="84"/>
      <c r="M28" s="65"/>
      <c r="N28" s="145"/>
      <c r="O28" s="145"/>
      <c r="P28" s="145"/>
      <c r="R28" s="63"/>
    </row>
    <row r="29" spans="2:18" ht="20.149999999999999" customHeight="1" x14ac:dyDescent="0.45">
      <c r="B29" s="243"/>
      <c r="C29" s="212"/>
      <c r="D29" s="461"/>
      <c r="E29" s="461"/>
      <c r="F29" s="461"/>
      <c r="G29" s="76"/>
      <c r="H29" s="183"/>
      <c r="I29" s="462"/>
      <c r="J29" s="462"/>
      <c r="K29" s="83"/>
      <c r="L29" s="84"/>
      <c r="M29" s="65"/>
      <c r="N29" s="145"/>
      <c r="O29" s="145"/>
      <c r="P29" s="145"/>
      <c r="R29" s="63"/>
    </row>
    <row r="30" spans="2:18" ht="20.149999999999999" customHeight="1" x14ac:dyDescent="0.45">
      <c r="B30" s="243"/>
      <c r="C30" s="212"/>
      <c r="D30" s="461"/>
      <c r="E30" s="461"/>
      <c r="F30" s="461"/>
      <c r="G30" s="76"/>
      <c r="H30" s="183"/>
      <c r="I30" s="462"/>
      <c r="J30" s="462"/>
      <c r="K30" s="83"/>
      <c r="L30" s="84"/>
      <c r="M30" s="65"/>
      <c r="N30" s="145"/>
      <c r="O30" s="145"/>
      <c r="P30" s="145"/>
      <c r="R30" s="63"/>
    </row>
    <row r="31" spans="2:18" ht="20.149999999999999" customHeight="1" x14ac:dyDescent="0.45">
      <c r="B31" s="243"/>
      <c r="C31" s="212"/>
      <c r="D31" s="461"/>
      <c r="E31" s="461"/>
      <c r="F31" s="461"/>
      <c r="G31" s="76"/>
      <c r="H31" s="183"/>
      <c r="I31" s="462"/>
      <c r="J31" s="462"/>
      <c r="K31" s="83"/>
      <c r="L31" s="8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D32" s="461"/>
      <c r="E32" s="461"/>
      <c r="F32" s="461"/>
      <c r="G32" s="76"/>
      <c r="H32" s="183"/>
      <c r="I32" s="462"/>
      <c r="J32" s="462"/>
      <c r="K32" s="83"/>
      <c r="L32" s="84"/>
      <c r="M32" s="65"/>
      <c r="N32" s="145"/>
      <c r="O32" s="145"/>
      <c r="P32" s="145"/>
      <c r="R32" s="63"/>
    </row>
    <row r="33" spans="2:18" ht="20.149999999999999" customHeight="1" x14ac:dyDescent="0.45">
      <c r="B33" s="243"/>
      <c r="C33" s="212"/>
      <c r="D33" s="461"/>
      <c r="E33" s="461"/>
      <c r="F33" s="461"/>
      <c r="G33" s="76"/>
      <c r="H33" s="183"/>
      <c r="I33" s="462"/>
      <c r="J33" s="462"/>
      <c r="K33" s="83"/>
      <c r="L33" s="84"/>
      <c r="M33" s="65"/>
      <c r="N33" s="145"/>
      <c r="O33" s="145"/>
      <c r="P33" s="145"/>
      <c r="R33" s="63"/>
    </row>
    <row r="34" spans="2:18" ht="20.149999999999999" customHeight="1" x14ac:dyDescent="0.45">
      <c r="B34" s="122"/>
      <c r="C34" s="45"/>
      <c r="D34" s="45"/>
      <c r="E34" s="45"/>
      <c r="F34" s="45"/>
      <c r="G34" s="97"/>
      <c r="H34" s="124"/>
      <c r="I34" s="89"/>
      <c r="J34" s="89"/>
      <c r="K34" s="95"/>
      <c r="L34" s="98"/>
    </row>
    <row r="35" spans="2:18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546" t="s">
        <v>13</v>
      </c>
      <c r="K35" s="547"/>
      <c r="L35" s="121">
        <f>SUM(L18:L34)</f>
        <v>15</v>
      </c>
      <c r="M35" s="63">
        <f>SUM(P18:P34)</f>
        <v>-18.400000000000002</v>
      </c>
      <c r="N35" s="133">
        <f>M35/L35</f>
        <v>-1.2266666666666668</v>
      </c>
      <c r="Q35" s="133"/>
    </row>
    <row r="36" spans="2:18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  <c r="M36" s="63"/>
    </row>
    <row r="37" spans="2:18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15</v>
      </c>
    </row>
    <row r="38" spans="2:18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8" ht="20.149999999999999" customHeight="1" thickBot="1" x14ac:dyDescent="0.5">
      <c r="B39" s="10" t="s">
        <v>700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16.350000000000001</v>
      </c>
    </row>
    <row r="40" spans="2:18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3">
        <v>44641</v>
      </c>
      <c r="O40" s="19">
        <v>196.3</v>
      </c>
      <c r="P40" s="19">
        <v>40.590000000000003</v>
      </c>
      <c r="Q40" s="133">
        <f>P40/O40</f>
        <v>0.20677534386143659</v>
      </c>
    </row>
    <row r="41" spans="2:18" ht="20.149999999999999" customHeight="1" x14ac:dyDescent="0.45">
      <c r="B41" s="144" t="s">
        <v>690</v>
      </c>
      <c r="L41" s="37"/>
    </row>
    <row r="42" spans="2:18" ht="20.149999999999999" customHeight="1" x14ac:dyDescent="0.45">
      <c r="B42" s="36"/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44"/>
      <c r="C45" s="45"/>
      <c r="D45" s="45"/>
      <c r="J45" s="45"/>
      <c r="K45" s="45"/>
      <c r="L45" s="46"/>
    </row>
    <row r="46" spans="2:18" ht="20.149999999999999" customHeight="1" x14ac:dyDescent="0.45">
      <c r="B46" s="36" t="s">
        <v>25</v>
      </c>
      <c r="J46" s="19" t="s">
        <v>26</v>
      </c>
      <c r="L46" s="37"/>
    </row>
    <row r="47" spans="2:18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8" ht="20.5" x14ac:dyDescent="0.45">
      <c r="F48" s="201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3:F33"/>
    <mergeCell ref="I33:J33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theme="7"/>
    <pageSetUpPr fitToPage="1"/>
  </sheetPr>
  <dimension ref="B1:R47"/>
  <sheetViews>
    <sheetView topLeftCell="B15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688</v>
      </c>
      <c r="J10" s="24" t="s">
        <v>27</v>
      </c>
      <c r="K10" s="493">
        <v>202501183</v>
      </c>
      <c r="L10" s="494"/>
    </row>
    <row r="11" spans="2:14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Cafe 107 Pte Ltd                                                                             107 Serangoon North Ave 1, #01-671 Singapore 550107.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49" t="s">
        <v>1090</v>
      </c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58"/>
      <c r="C18" s="212" t="s">
        <v>2201</v>
      </c>
      <c r="D18" s="461" t="str">
        <f>VLOOKUP(C18,'Sales Master'!B$3:D$530,2,)</f>
        <v>Coconut Sugar Syrup 椰糖浆</v>
      </c>
      <c r="E18" s="461"/>
      <c r="F18" s="461"/>
      <c r="G18" s="76">
        <v>2</v>
      </c>
      <c r="H18" s="186" t="str">
        <f>VLOOKUP(C18,'Sales Master'!$B$3:$F$2413,5,0)</f>
        <v>GW: 5 KG/ Btl支</v>
      </c>
      <c r="I18" s="497" t="str">
        <f>VLOOKUP(C18,'Sales Master'!$B$3:$E$2413,4,0)</f>
        <v>DO!</v>
      </c>
      <c r="J18" s="497"/>
      <c r="K18" s="83">
        <f>VLOOKUP(C18,'Sales Master'!$B$4:$BU$2433,72,0)</f>
        <v>20</v>
      </c>
      <c r="L18" s="84">
        <f>K18*G18</f>
        <v>40</v>
      </c>
      <c r="M18" s="65"/>
      <c r="N18" s="145">
        <f>VLOOKUP(C18,'Sales Master'!$B$3:$DA$2272,104,0)</f>
        <v>8.89</v>
      </c>
      <c r="O18" s="145">
        <f>K18-N18</f>
        <v>11.11</v>
      </c>
      <c r="P18" s="145">
        <f>O18*G18</f>
        <v>22.22</v>
      </c>
      <c r="R18" s="151">
        <v>1</v>
      </c>
    </row>
    <row r="19" spans="2:18" ht="20.149999999999999" customHeight="1" x14ac:dyDescent="0.45">
      <c r="B19" s="58"/>
      <c r="C19" s="212" t="s">
        <v>831</v>
      </c>
      <c r="D19" s="461" t="str">
        <f>VLOOKUP(C19,'Sales Master'!B$3:D$530,2,)</f>
        <v>Chin Chow  仙草</v>
      </c>
      <c r="E19" s="461"/>
      <c r="F19" s="461"/>
      <c r="G19" s="76">
        <v>3</v>
      </c>
      <c r="H19" s="186" t="str">
        <f>VLOOKUP(C19,'Sales Master'!$B$3:$F$2413,5,0)</f>
        <v>4 KG/ Pkt包</v>
      </c>
      <c r="I19" s="497" t="str">
        <f>VLOOKUP(C19,'Sales Master'!$B$3:$E$2413,4,0)</f>
        <v>TSM</v>
      </c>
      <c r="J19" s="497"/>
      <c r="K19" s="83">
        <f>VLOOKUP(C19,'Sales Master'!$B$4:$BU$2433,72,0)</f>
        <v>6.5</v>
      </c>
      <c r="L19" s="84">
        <f t="shared" ref="L19" si="0">K19*G19</f>
        <v>19.5</v>
      </c>
      <c r="M19" s="65"/>
      <c r="N19" s="145">
        <f>VLOOKUP(C19,'Sales Master'!$B$3:$DA$2272,104,0)</f>
        <v>4</v>
      </c>
      <c r="O19" s="145">
        <f t="shared" ref="O19" si="1">K19-N19</f>
        <v>2.5</v>
      </c>
      <c r="P19" s="145">
        <f t="shared" ref="P19" si="2">O19*G19</f>
        <v>7.5</v>
      </c>
      <c r="R19" s="76"/>
    </row>
    <row r="20" spans="2:18" ht="20.149999999999999" customHeight="1" x14ac:dyDescent="0.45">
      <c r="B20" s="58"/>
      <c r="C20" s="212" t="s">
        <v>1165</v>
      </c>
      <c r="D20" s="461" t="str">
        <f>VLOOKUP(C20,'Sales Master'!B$3:D$530,2,)</f>
        <v>Honey Pearl - Black 蜜糖珍珠</v>
      </c>
      <c r="E20" s="461"/>
      <c r="F20" s="461"/>
      <c r="G20" s="76">
        <v>1</v>
      </c>
      <c r="H20" s="186" t="str">
        <f>VLOOKUP(C20,'Sales Master'!$B$3:$F$2413,5,0)</f>
        <v>3 kgs</v>
      </c>
      <c r="I20" s="497" t="str">
        <f>VLOOKUP(C20,'Sales Master'!$B$3:$E$2413,4,0)</f>
        <v>7 MM</v>
      </c>
      <c r="J20" s="497"/>
      <c r="K20" s="83">
        <f>VLOOKUP(C20,'Sales Master'!$B$4:$BU$2433,72,0)</f>
        <v>9.5</v>
      </c>
      <c r="L20" s="84">
        <f t="shared" ref="L20" si="3">K20*G20</f>
        <v>9.5</v>
      </c>
      <c r="M20" s="65"/>
      <c r="N20" s="145">
        <f>VLOOKUP(C20,'Sales Master'!$B$3:$DA$2272,104,0)</f>
        <v>7.2</v>
      </c>
      <c r="O20" s="145">
        <f t="shared" ref="O20" si="4">K20-N20</f>
        <v>2.2999999999999998</v>
      </c>
      <c r="P20" s="145">
        <f t="shared" ref="P20" si="5">O20*G20</f>
        <v>2.2999999999999998</v>
      </c>
    </row>
    <row r="21" spans="2:18" ht="20.149999999999999" customHeight="1" x14ac:dyDescent="0.45">
      <c r="B21" s="58"/>
      <c r="C21" s="212" t="s">
        <v>1014</v>
      </c>
      <c r="D21" s="461" t="str">
        <f>VLOOKUP(C21,'Sales Master'!B$3:D$530,2,)</f>
        <v>Fine Sugar 白糖</v>
      </c>
      <c r="E21" s="461"/>
      <c r="F21" s="461"/>
      <c r="G21" s="76">
        <v>2</v>
      </c>
      <c r="H21" s="186" t="str">
        <f>VLOOKUP(C21,'Sales Master'!$B$3:$F$2413,5,0)</f>
        <v>25 KGS</v>
      </c>
      <c r="I21" s="497" t="str">
        <f>VLOOKUP(C21,'Sales Master'!$B$3:$E$2413,4,0)</f>
        <v>MITR PHOL/ 蜜朋</v>
      </c>
      <c r="J21" s="497"/>
      <c r="K21" s="83">
        <f>VLOOKUP(C21,'Sales Master'!$B$4:$BU$2433,72,0)</f>
        <v>32</v>
      </c>
      <c r="L21" s="84">
        <f t="shared" ref="L21" si="6">K21*G21</f>
        <v>64</v>
      </c>
      <c r="M21" s="65"/>
      <c r="N21" s="145">
        <f>VLOOKUP(C21,'Sales Master'!$B$3:$DA$2272,104,0)</f>
        <v>24.5</v>
      </c>
      <c r="O21" s="145">
        <f t="shared" ref="O21" si="7">K21-N21</f>
        <v>7.5</v>
      </c>
      <c r="P21" s="145">
        <f t="shared" ref="P21" si="8">O21*G21</f>
        <v>15</v>
      </c>
      <c r="R21" s="76"/>
    </row>
    <row r="22" spans="2:18" ht="20.149999999999999" customHeight="1" x14ac:dyDescent="0.45">
      <c r="B22" s="58"/>
      <c r="C22" s="212"/>
      <c r="D22" s="461"/>
      <c r="E22" s="461"/>
      <c r="F22" s="461"/>
      <c r="G22" s="76"/>
      <c r="H22" s="186"/>
      <c r="I22" s="497"/>
      <c r="J22" s="497"/>
      <c r="K22" s="83"/>
      <c r="L22" s="84"/>
      <c r="M22" s="65"/>
      <c r="N22" s="145"/>
      <c r="O22" s="145"/>
      <c r="P22" s="145"/>
      <c r="R22" s="76"/>
    </row>
    <row r="23" spans="2:18" ht="20.149999999999999" customHeight="1" x14ac:dyDescent="0.45">
      <c r="B23" s="58"/>
      <c r="C23" s="212"/>
      <c r="D23" s="461"/>
      <c r="E23" s="461"/>
      <c r="F23" s="461"/>
      <c r="G23" s="76"/>
      <c r="H23" s="186"/>
      <c r="I23" s="497"/>
      <c r="J23" s="497"/>
      <c r="K23" s="83"/>
      <c r="L23" s="84"/>
      <c r="M23" s="65"/>
      <c r="N23" s="145"/>
      <c r="O23" s="145"/>
      <c r="P23" s="145"/>
      <c r="R23" s="76"/>
    </row>
    <row r="24" spans="2:18" ht="20.149999999999999" customHeight="1" x14ac:dyDescent="0.45">
      <c r="B24" s="58"/>
      <c r="C24" s="212"/>
      <c r="D24" s="501"/>
      <c r="E24" s="501"/>
      <c r="F24" s="501"/>
      <c r="G24" s="76"/>
      <c r="H24" s="196"/>
      <c r="I24" s="462"/>
      <c r="J24" s="462"/>
      <c r="K24" s="190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212"/>
      <c r="D25" s="147"/>
      <c r="E25" s="147"/>
      <c r="F25" s="147"/>
      <c r="G25" s="76"/>
      <c r="H25" s="196"/>
      <c r="I25" s="209"/>
      <c r="J25" s="209"/>
      <c r="K25" s="190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17"/>
      <c r="D26" s="461"/>
      <c r="E26" s="461"/>
      <c r="F26" s="461"/>
      <c r="G26" s="76"/>
      <c r="H26" s="56"/>
      <c r="I26" s="491"/>
      <c r="J26" s="491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49" t="s">
        <v>2166</v>
      </c>
      <c r="G27" s="76"/>
      <c r="H27" s="56"/>
      <c r="I27" s="56"/>
      <c r="J27" s="56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9" t="s">
        <v>1014</v>
      </c>
      <c r="D28" s="461" t="str">
        <f>VLOOKUP(C28,'Sales Master'!B$3:D$530,2,)</f>
        <v>Fine Sugar 白糖</v>
      </c>
      <c r="E28" s="461"/>
      <c r="F28" s="461"/>
      <c r="G28" s="76">
        <v>1</v>
      </c>
      <c r="H28" s="186" t="str">
        <f>VLOOKUP(C28,'Sales Master'!$B$3:$F$2413,5,0)</f>
        <v>25 KGS</v>
      </c>
      <c r="I28" s="497" t="str">
        <f>VLOOKUP(C28,'Sales Master'!$B$3:$E$2413,4,0)</f>
        <v>MITR PHOL/ 蜜朋</v>
      </c>
      <c r="J28" s="497"/>
      <c r="K28" s="83">
        <v>32</v>
      </c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739</v>
      </c>
      <c r="D29" s="461" t="str">
        <f>VLOOKUP(C29,'Sales Master'!B$3:D$530,2,)</f>
        <v>Coconut Sugar Syrup 椰糖浆</v>
      </c>
      <c r="E29" s="461"/>
      <c r="F29" s="461"/>
      <c r="G29" s="76">
        <v>1</v>
      </c>
      <c r="H29" s="186" t="str">
        <f>VLOOKUP(C29,'Sales Master'!$B$3:$F$2413,5,0)</f>
        <v>4 KG/ Btl支</v>
      </c>
      <c r="I29" s="497" t="str">
        <f>VLOOKUP(C29,'Sales Master'!$B$3:$E$2413,4,0)</f>
        <v>DO!</v>
      </c>
      <c r="J29" s="497"/>
      <c r="K29" s="83">
        <v>18</v>
      </c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2201</v>
      </c>
      <c r="D30" s="461" t="str">
        <f>VLOOKUP(C30,'Sales Master'!B$3:D$530,2,)</f>
        <v>Coconut Sugar Syrup 椰糖浆</v>
      </c>
      <c r="E30" s="461"/>
      <c r="F30" s="461"/>
      <c r="G30" s="76">
        <v>1</v>
      </c>
      <c r="H30" s="186" t="str">
        <f>VLOOKUP(C30,'Sales Master'!$B$3:$F$2413,5,0)</f>
        <v>GW: 5 KG/ Btl支</v>
      </c>
      <c r="I30" s="497" t="str">
        <f>VLOOKUP(C30,'Sales Master'!$B$3:$E$2413,4,0)</f>
        <v>DO!</v>
      </c>
      <c r="J30" s="497"/>
      <c r="K30" s="83">
        <v>20</v>
      </c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53"/>
      <c r="G31" s="76"/>
      <c r="H31" s="56"/>
      <c r="I31" s="56"/>
      <c r="J31" s="56"/>
      <c r="K31" s="150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445"/>
      <c r="E32" s="445"/>
      <c r="F32" s="445"/>
      <c r="G32" s="76"/>
      <c r="H32" s="183"/>
      <c r="I32" s="462"/>
      <c r="J32" s="462"/>
      <c r="K32" s="150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SUM(L18:L33)</f>
        <v>133</v>
      </c>
      <c r="M34" s="63">
        <f>SUM(P18:P34)</f>
        <v>47.019999999999996</v>
      </c>
      <c r="N34" s="133">
        <f>M34/L34</f>
        <v>0.35353383458646614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133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11.969999999999999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144.97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3"/>
    </row>
  </sheetData>
  <mergeCells count="42">
    <mergeCell ref="D30:F30"/>
    <mergeCell ref="I26:J26"/>
    <mergeCell ref="I30:J30"/>
    <mergeCell ref="D26:F26"/>
    <mergeCell ref="J38:K38"/>
    <mergeCell ref="J34:K34"/>
    <mergeCell ref="D32:F32"/>
    <mergeCell ref="I32:J32"/>
    <mergeCell ref="J36:K36"/>
    <mergeCell ref="D28:F28"/>
    <mergeCell ref="I28:J28"/>
    <mergeCell ref="D29:F29"/>
    <mergeCell ref="I29:J29"/>
    <mergeCell ref="D24:F24"/>
    <mergeCell ref="D21:F21"/>
    <mergeCell ref="I21:J21"/>
    <mergeCell ref="D18:F18"/>
    <mergeCell ref="I18:J18"/>
    <mergeCell ref="I24:J24"/>
    <mergeCell ref="I20:J20"/>
    <mergeCell ref="I19:J19"/>
    <mergeCell ref="D20:F20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3:F23"/>
    <mergeCell ref="I23:J23"/>
    <mergeCell ref="I17:J17"/>
    <mergeCell ref="D22:F22"/>
    <mergeCell ref="I22:J22"/>
  </mergeCells>
  <conditionalFormatting sqref="C27">
    <cfRule type="duplicateValues" dxfId="125" priority="1"/>
  </conditionalFormatting>
  <conditionalFormatting sqref="C31">
    <cfRule type="duplicateValues" dxfId="124" priority="1088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8DBB-0FF9-484B-B743-4587BAD2D364}">
  <sheetPr>
    <tabColor rgb="FFFFC000"/>
    <pageSetUpPr fitToPage="1"/>
  </sheetPr>
  <dimension ref="A1:R45"/>
  <sheetViews>
    <sheetView topLeftCell="A18" zoomScaleNormal="100" workbookViewId="0">
      <selection activeCell="B1" sqref="B1:L44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</v>
      </c>
      <c r="J10" s="24" t="s">
        <v>27</v>
      </c>
      <c r="K10" s="493">
        <v>202404370</v>
      </c>
      <c r="L10" s="494"/>
    </row>
    <row r="11" spans="2:12" ht="20.149999999999999" customHeight="1" x14ac:dyDescent="0.45">
      <c r="B11" s="477" t="s">
        <v>1990</v>
      </c>
      <c r="C11" s="478"/>
      <c r="D11" s="479"/>
      <c r="E11" s="25"/>
      <c r="F11" s="480" t="str">
        <f>VLOOKUP(H10,'Delivery Location'!A$4:N$460,2,0)</f>
        <v>Raffle Girls' School                                              2, Braddell Rise, Singapore 31887</v>
      </c>
      <c r="G11" s="481"/>
      <c r="H11" s="482"/>
      <c r="J11" s="26" t="s">
        <v>9</v>
      </c>
      <c r="K11" s="495">
        <v>45395</v>
      </c>
      <c r="L11" s="496"/>
    </row>
    <row r="12" spans="2:12" ht="20.149999999999999" customHeight="1" x14ac:dyDescent="0.45">
      <c r="B12" s="488" t="s">
        <v>1991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1995</v>
      </c>
      <c r="L13" s="464"/>
    </row>
    <row r="14" spans="2:12" ht="20.149999999999999" customHeight="1" x14ac:dyDescent="0.45">
      <c r="B14" s="488" t="s">
        <v>2005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242"/>
      <c r="C18" s="212" t="s">
        <v>1218</v>
      </c>
      <c r="D18" s="461" t="str">
        <f>VLOOKUP(C18,'Sales Master'!B$3:D$530,2,)</f>
        <v>Bean Curd Jelly 豆花冻</v>
      </c>
      <c r="E18" s="461"/>
      <c r="F18" s="461"/>
      <c r="G18" s="76">
        <v>80</v>
      </c>
      <c r="H18" s="247" t="str">
        <f>VLOOKUP(C18,'Sales Master'!$B$3:$F$2413,5,0)</f>
        <v>200 ml</v>
      </c>
      <c r="I18" s="462" t="str">
        <f>VLOOKUP(C18,'Sales Master'!$B$3:$E$2413,4,0)</f>
        <v>DO!</v>
      </c>
      <c r="J18" s="462"/>
      <c r="K18" s="83">
        <v>0.95</v>
      </c>
      <c r="L18" s="84">
        <f>K18*G18</f>
        <v>76</v>
      </c>
      <c r="N18" s="145">
        <f>VLOOKUP(C18,'Sales Master'!$B$3:$DA$2272,104,0)</f>
        <v>0.5</v>
      </c>
      <c r="O18" s="145">
        <f>K18-N18</f>
        <v>0.44999999999999996</v>
      </c>
      <c r="P18" s="145">
        <f>O18*G18</f>
        <v>36</v>
      </c>
      <c r="Q18" s="63"/>
      <c r="R18" s="63">
        <f>N18*G18*0.07</f>
        <v>2.8000000000000003</v>
      </c>
    </row>
    <row r="19" spans="1:18" ht="20.149999999999999" customHeight="1" x14ac:dyDescent="0.45">
      <c r="A19" s="65"/>
      <c r="B19" s="242"/>
      <c r="C19" s="212"/>
      <c r="D19" s="461"/>
      <c r="E19" s="461"/>
      <c r="F19" s="461"/>
      <c r="G19" s="76"/>
      <c r="H19" s="247"/>
      <c r="I19" s="462"/>
      <c r="J19" s="462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42"/>
      <c r="C20" s="212"/>
      <c r="D20" s="461"/>
      <c r="E20" s="461"/>
      <c r="F20" s="461"/>
      <c r="G20" s="76"/>
      <c r="H20" s="247"/>
      <c r="I20" s="462"/>
      <c r="J20" s="462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42"/>
      <c r="C21" s="212"/>
      <c r="D21" s="461"/>
      <c r="E21" s="461"/>
      <c r="F21" s="461"/>
      <c r="G21" s="76"/>
      <c r="H21" s="247"/>
      <c r="I21" s="462"/>
      <c r="J21" s="462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42"/>
      <c r="C22" s="212"/>
      <c r="D22" s="461"/>
      <c r="E22" s="461"/>
      <c r="F22" s="461"/>
      <c r="G22" s="76"/>
      <c r="H22" s="247"/>
      <c r="I22" s="462"/>
      <c r="J22" s="462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462"/>
      <c r="J23" s="462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462"/>
      <c r="J24" s="462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462"/>
      <c r="J25" s="462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462"/>
      <c r="J26" s="462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61"/>
      <c r="E27" s="461"/>
      <c r="F27" s="461"/>
      <c r="G27" s="76"/>
      <c r="H27" s="247"/>
      <c r="I27" s="462"/>
      <c r="J27" s="462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61"/>
      <c r="E28" s="461"/>
      <c r="F28" s="461"/>
      <c r="G28" s="76"/>
      <c r="H28" s="183"/>
      <c r="I28" s="462"/>
      <c r="J28" s="462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4"/>
      <c r="J29" s="514"/>
      <c r="K29" s="95"/>
      <c r="L29" s="98"/>
      <c r="M29" s="63"/>
      <c r="N29" s="63"/>
      <c r="Q29" s="63"/>
    </row>
    <row r="30" spans="1:18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8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2" t="s">
        <v>13</v>
      </c>
      <c r="K31" s="513"/>
      <c r="L31" s="143">
        <f>SUM(L18:L30)</f>
        <v>76</v>
      </c>
      <c r="M31" s="63">
        <f>SUM(P18:P30)</f>
        <v>36</v>
      </c>
      <c r="N31" s="133">
        <f>M31/L31</f>
        <v>0.47368421052631576</v>
      </c>
      <c r="Q31" s="133"/>
    </row>
    <row r="32" spans="1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L34</f>
        <v>6.2752293577981648</v>
      </c>
      <c r="M32" s="63"/>
    </row>
    <row r="33" spans="2:17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L31/109*100</f>
        <v>69.724770642201833</v>
      </c>
    </row>
    <row r="34" spans="2:17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6.2752293577981648</v>
      </c>
    </row>
    <row r="35" spans="2:17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76</v>
      </c>
    </row>
    <row r="36" spans="2:17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7" ht="18" customHeight="1" x14ac:dyDescent="0.45">
      <c r="B37" s="144" t="s">
        <v>690</v>
      </c>
      <c r="L37" s="37"/>
    </row>
    <row r="38" spans="2:17" ht="18" customHeight="1" x14ac:dyDescent="0.45">
      <c r="B38" s="36"/>
      <c r="L38" s="37"/>
      <c r="N38" s="176">
        <v>44641</v>
      </c>
      <c r="O38" s="19">
        <v>287.5</v>
      </c>
      <c r="P38" s="19">
        <v>54.36</v>
      </c>
      <c r="Q38" s="133">
        <f>P38/O38</f>
        <v>0.18907826086956522</v>
      </c>
    </row>
    <row r="39" spans="2:17" ht="18" customHeight="1" x14ac:dyDescent="0.45">
      <c r="B39" s="36"/>
      <c r="L39" s="37"/>
      <c r="N39" s="176"/>
      <c r="Q39" s="133"/>
    </row>
    <row r="40" spans="2:17" ht="18" customHeight="1" x14ac:dyDescent="0.45">
      <c r="B40" s="36"/>
      <c r="L40" s="37"/>
      <c r="N40" s="176"/>
      <c r="Q40" s="133"/>
    </row>
    <row r="41" spans="2:17" ht="18" customHeight="1" x14ac:dyDescent="0.45">
      <c r="B41" s="36"/>
      <c r="L41" s="37"/>
      <c r="N41" s="176"/>
      <c r="Q41" s="133"/>
    </row>
    <row r="42" spans="2:17" ht="18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7" ht="20.5" x14ac:dyDescent="0.45">
      <c r="F45" s="201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</mergeCells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9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19"/>
    <col min="4" max="4" width="14.54296875" style="19" customWidth="1"/>
    <col min="5" max="5" width="3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691</v>
      </c>
      <c r="J10" s="24" t="s">
        <v>27</v>
      </c>
      <c r="K10" s="493">
        <v>202409558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高原                                                           Blk 226H, Ang Mo Kio Street 22      #01-14  Singapore 568226</v>
      </c>
      <c r="G11" s="481"/>
      <c r="H11" s="482"/>
      <c r="J11" s="26" t="s">
        <v>9</v>
      </c>
      <c r="K11" s="495">
        <v>45560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768</v>
      </c>
      <c r="D18" s="525" t="str">
        <f>VLOOKUP(C18,'Sales Master'!B$3:D$530,2,)</f>
        <v>Jelly Powder 文头雪粉 (Carrageenan)</v>
      </c>
      <c r="E18" s="525"/>
      <c r="F18" s="525"/>
      <c r="G18" s="17">
        <v>8</v>
      </c>
      <c r="H18" s="186" t="str">
        <f>VLOOKUP(C18,'Sales Master'!$B$3:$E$530,4,0)</f>
        <v>500/4000</v>
      </c>
      <c r="I18" s="497" t="str">
        <f>VLOOKUP(C18,'Sales Master'!$B$3:F$530,5,0)</f>
        <v>1 kg</v>
      </c>
      <c r="J18" s="497"/>
      <c r="K18" s="83">
        <f>VLOOKUP(C18,'Sales Master'!$B$3:$BO$118,66,0)</f>
        <v>43</v>
      </c>
      <c r="L18" s="64">
        <f>K18*G18</f>
        <v>344</v>
      </c>
      <c r="M18" s="65"/>
      <c r="N18" s="145">
        <f>VLOOKUP(C18,'Sales Master'!$B$3:$DA$2272,104,0)</f>
        <v>27.5</v>
      </c>
      <c r="O18" s="145">
        <f>K18-N18</f>
        <v>15.5</v>
      </c>
      <c r="P18" s="145">
        <f>O18*G18</f>
        <v>124</v>
      </c>
    </row>
    <row r="19" spans="2:16" ht="20.149999999999999" customHeight="1" x14ac:dyDescent="0.45">
      <c r="B19" s="29"/>
      <c r="C19" s="17"/>
      <c r="D19" s="501"/>
      <c r="E19" s="501"/>
      <c r="F19" s="501"/>
      <c r="G19" s="17"/>
      <c r="H19" s="56"/>
      <c r="I19" s="491"/>
      <c r="J19" s="491"/>
      <c r="K19" s="190"/>
      <c r="L19" s="64"/>
    </row>
    <row r="20" spans="2:16" ht="20.149999999999999" customHeight="1" x14ac:dyDescent="0.45">
      <c r="B20" s="29"/>
      <c r="C20" s="17"/>
      <c r="D20" s="501"/>
      <c r="E20" s="501"/>
      <c r="F20" s="501"/>
      <c r="G20" s="17"/>
      <c r="H20" s="56"/>
      <c r="I20" s="491"/>
      <c r="J20" s="491"/>
      <c r="K20" s="190"/>
      <c r="L20" s="64"/>
    </row>
    <row r="21" spans="2:16" ht="20.149999999999999" customHeight="1" x14ac:dyDescent="0.45">
      <c r="B21" s="29"/>
      <c r="C21" s="17"/>
      <c r="D21" s="501"/>
      <c r="E21" s="501"/>
      <c r="F21" s="501"/>
      <c r="G21" s="17"/>
      <c r="H21" s="56"/>
      <c r="I21" s="491"/>
      <c r="J21" s="491"/>
      <c r="K21" s="190"/>
      <c r="L21" s="64"/>
    </row>
    <row r="22" spans="2:16" ht="20.149999999999999" customHeight="1" x14ac:dyDescent="0.45">
      <c r="B22" s="29"/>
      <c r="C22" s="17"/>
      <c r="D22" s="501"/>
      <c r="E22" s="501"/>
      <c r="F22" s="501"/>
      <c r="G22" s="17"/>
      <c r="H22" s="56"/>
      <c r="I22" s="491"/>
      <c r="J22" s="491"/>
      <c r="K22" s="190"/>
      <c r="L22" s="64"/>
    </row>
    <row r="23" spans="2:16" ht="20.149999999999999" customHeight="1" x14ac:dyDescent="0.45">
      <c r="B23" s="29"/>
      <c r="C23" s="17"/>
      <c r="D23" s="501"/>
      <c r="E23" s="501"/>
      <c r="F23" s="501"/>
      <c r="G23" s="17"/>
      <c r="H23" s="56"/>
      <c r="I23" s="491"/>
      <c r="J23" s="491"/>
      <c r="K23" s="190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19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19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56"/>
      <c r="K26" s="19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56"/>
      <c r="K27" s="19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57"/>
      <c r="J28" s="57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344</v>
      </c>
      <c r="M30" s="63">
        <f>SUM(P18:P28)-L31</f>
        <v>124</v>
      </c>
      <c r="N30" s="133">
        <f>M30/L30</f>
        <v>0.36046511627906974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1790</v>
      </c>
      <c r="K31" s="261">
        <v>6.54E-2</v>
      </c>
      <c r="L31" s="41"/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577" t="s">
        <v>1789</v>
      </c>
      <c r="K32" s="578"/>
      <c r="L32" s="260">
        <f>L30</f>
        <v>344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1788</v>
      </c>
      <c r="K33" s="103">
        <f>'Sales Master'!$B$1</f>
        <v>0.09</v>
      </c>
      <c r="L33" s="42">
        <f>L32*K33</f>
        <v>30.959999999999997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374.96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J34:K34"/>
    <mergeCell ref="D26:F26"/>
    <mergeCell ref="D27:F27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7030A0"/>
    <pageSetUpPr fitToPage="1"/>
  </sheetPr>
  <dimension ref="B1:V42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695</v>
      </c>
      <c r="J10" s="24" t="s">
        <v>27</v>
      </c>
      <c r="K10" s="493">
        <v>202312019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Somerset Orchard@JuiceBar No: 17   313 Orchard Road #05-01                Singapore 238895                           </v>
      </c>
      <c r="G11" s="481"/>
      <c r="H11" s="482"/>
      <c r="J11" s="26" t="s">
        <v>9</v>
      </c>
      <c r="K11" s="495">
        <v>45261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722</v>
      </c>
      <c r="D18" s="461" t="str">
        <f>VLOOKUP(C18,'Sales Master'!B$3:D$530,2,)</f>
        <v xml:space="preserve">Fresh Soursop 红毛榴莲 </v>
      </c>
      <c r="E18" s="461"/>
      <c r="F18" s="461"/>
      <c r="G18" s="76">
        <v>1</v>
      </c>
      <c r="H18" s="183" t="str">
        <f>VLOOKUP(C18,'Sales Master'!$B$3:$F$2413,5,0)</f>
        <v>GW:5 KG/ Tub桶</v>
      </c>
      <c r="I18" s="462" t="str">
        <f>VLOOKUP(C18,'Sales Master'!$B$3:$E$2413,4,0)</f>
        <v>DO!</v>
      </c>
      <c r="J18" s="462"/>
      <c r="K18" s="83">
        <f>VLOOKUP(C18,'Sales Master'!B$3:I$530,8,0)</f>
        <v>34</v>
      </c>
      <c r="L18" s="84">
        <f>K18*G18</f>
        <v>34</v>
      </c>
      <c r="N18" s="145">
        <f>VLOOKUP(C18,'Sales Master'!$B$3:$DA$2272,104,0)</f>
        <v>25.63</v>
      </c>
      <c r="O18" s="145">
        <f>K18-N18</f>
        <v>8.370000000000001</v>
      </c>
      <c r="P18" s="145">
        <f>O18*G18</f>
        <v>8.370000000000001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70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34</v>
      </c>
      <c r="M30" s="63">
        <f>SUM(P18:P27)</f>
        <v>8.370000000000001</v>
      </c>
      <c r="N30" s="133">
        <f>M30/L30</f>
        <v>0.24617647058823533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3.06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37.06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2:K32"/>
    <mergeCell ref="J34:K34"/>
    <mergeCell ref="D25:F25"/>
    <mergeCell ref="I25:J25"/>
    <mergeCell ref="D26:F26"/>
    <mergeCell ref="I26:J26"/>
    <mergeCell ref="D28:F28"/>
    <mergeCell ref="J30:K30"/>
  </mergeCells>
  <conditionalFormatting sqref="C18:C20">
    <cfRule type="duplicateValues" dxfId="123" priority="4"/>
  </conditionalFormatting>
  <conditionalFormatting sqref="C21">
    <cfRule type="duplicateValues" dxfId="122" priority="1"/>
  </conditionalFormatting>
  <conditionalFormatting sqref="C22">
    <cfRule type="duplicateValues" dxfId="121" priority="3"/>
  </conditionalFormatting>
  <conditionalFormatting sqref="C23">
    <cfRule type="duplicateValues" dxfId="120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3FB-CC30-4F9E-8F92-2D10A2D66D5A}">
  <sheetPr>
    <tabColor rgb="FF7030A0"/>
    <pageSetUpPr fitToPage="1"/>
  </sheetPr>
  <dimension ref="B1:P41"/>
  <sheetViews>
    <sheetView topLeftCell="B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696</v>
      </c>
      <c r="J10" s="24" t="s">
        <v>27</v>
      </c>
      <c r="K10" s="493">
        <v>202406380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258 Pasir Ris Street 21,  Loyang Point, #02-313,  Singapore 510258</v>
      </c>
      <c r="G11" s="481"/>
      <c r="H11" s="482"/>
      <c r="J11" s="26" t="s">
        <v>9</v>
      </c>
      <c r="K11" s="495">
        <v>45461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2050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17">
        <v>2</v>
      </c>
      <c r="H18" s="230" t="str">
        <f>VLOOKUP(C18,'Sales Master'!$B$3:$F$2481,5,0)</f>
        <v>12 CAN/CARTON</v>
      </c>
      <c r="I18" s="497" t="str">
        <f>VLOOKUP(C18,'Sales Master'!$B$3:$E$2481,4,0)</f>
        <v>Statue</v>
      </c>
      <c r="J18" s="497"/>
      <c r="K18" s="30">
        <f>VLOOKUP(C18,'Sales Master'!$B$3:$J$530,9,0)</f>
        <v>22</v>
      </c>
      <c r="L18" s="31">
        <f>K18*G18</f>
        <v>44</v>
      </c>
      <c r="N18" s="145">
        <f>VLOOKUP(C18,'Sales Master'!$B$3:$DA$2272,104,0)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230"/>
      <c r="I19" s="497"/>
      <c r="J19" s="497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230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91"/>
      <c r="J21" s="491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91"/>
      <c r="J22" s="491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91"/>
      <c r="J23" s="491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44</v>
      </c>
      <c r="M29" s="63">
        <f>SUM(P18:P21)-L29*0.02</f>
        <v>10.119999999999999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707</v>
      </c>
      <c r="J10" s="24" t="s">
        <v>27</v>
      </c>
      <c r="K10" s="493">
        <v>202305177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WaterWay Point                                            83 Punggol Central #02-20/21 Singapore 828761                               (DIM SUM STALL)</v>
      </c>
      <c r="G11" s="481"/>
      <c r="H11" s="482"/>
      <c r="J11" s="26" t="s">
        <v>9</v>
      </c>
      <c r="K11" s="495">
        <v>45054</v>
      </c>
      <c r="L11" s="496"/>
    </row>
    <row r="12" spans="2:12" ht="20.149999999999999" customHeight="1" x14ac:dyDescent="0.45">
      <c r="B12" s="488" t="s">
        <v>1171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801</v>
      </c>
      <c r="D18" s="461" t="str">
        <f>VLOOKUP(C18,'Sales Master'!B$3:D$530,2,)</f>
        <v>Sweet Potato Powder 番薯粉</v>
      </c>
      <c r="E18" s="461"/>
      <c r="F18" s="461"/>
      <c r="G18" s="17">
        <v>2</v>
      </c>
      <c r="H18" s="188" t="str">
        <f>VLOOKUP(C18,'Sales Master'!$B$3:$F$2413,5,0)</f>
        <v>(500gm x 20Pkt)包</v>
      </c>
      <c r="I18" s="497" t="str">
        <f>VLOOKUP(C18,'Sales Master'!$B$3:$E$2413,4,0)</f>
        <v>RE-PACK</v>
      </c>
      <c r="J18" s="497"/>
      <c r="K18" s="30">
        <f>VLOOKUP(C18,'Sales Master'!B$3:AO$530,40,0)</f>
        <v>32</v>
      </c>
      <c r="L18" s="64">
        <f>K18*G18</f>
        <v>64</v>
      </c>
      <c r="M18" s="65"/>
      <c r="N18" s="145">
        <f>VLOOKUP(C18,'Sales Master'!$B$3:$DA$2272,104,0)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 t="s">
        <v>990</v>
      </c>
      <c r="D19" s="461" t="str">
        <f>VLOOKUP(C19,'Sales Master'!B$3:D$530,2,)</f>
        <v>Coconut Milk 椰浆</v>
      </c>
      <c r="E19" s="461"/>
      <c r="F19" s="461"/>
      <c r="G19" s="17">
        <v>4</v>
      </c>
      <c r="H19" s="188" t="str">
        <f>VLOOKUP(C19,'Sales Master'!$B$3:$F$2413,5,0)</f>
        <v>(1L x 12bag)/箱</v>
      </c>
      <c r="I19" s="497" t="str">
        <f>VLOOKUP(C19,'Sales Master'!$B$3:$E$2413,4,0)</f>
        <v>Kara UHT</v>
      </c>
      <c r="J19" s="497"/>
      <c r="K19" s="30">
        <f>VLOOKUP(C19,'Sales Master'!B$3:AO$530,40,0)</f>
        <v>42</v>
      </c>
      <c r="L19" s="64">
        <f>K19*G19</f>
        <v>168</v>
      </c>
      <c r="M19" s="65"/>
      <c r="N19" s="145">
        <f>VLOOKUP(C19,'Sales Master'!$B$3:$DA$2272,104,0)</f>
        <v>35.799999999999997</v>
      </c>
      <c r="O19" s="145">
        <f>K19-N19</f>
        <v>6.2000000000000028</v>
      </c>
      <c r="P19" s="145">
        <f>O19*G19</f>
        <v>24.800000000000011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91"/>
      <c r="J22" s="491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SUM(L17:L28)</f>
        <v>232</v>
      </c>
      <c r="M29" s="63">
        <f>SUM(P18:P26)</f>
        <v>39.20000000000001</v>
      </c>
      <c r="N29" s="133">
        <f>M29/L29</f>
        <v>0.16896551724137934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232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20.88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252.88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C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C40" s="45"/>
      <c r="J40" s="19" t="s">
        <v>26</v>
      </c>
      <c r="L40" s="37"/>
    </row>
    <row r="41" spans="2:12" ht="19" thickBot="1" x14ac:dyDescent="0.5">
      <c r="B41" s="47"/>
      <c r="C41" s="12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19" thickBot="1" x14ac:dyDescent="0.5">
      <c r="C42" s="48"/>
    </row>
  </sheetData>
  <mergeCells count="38">
    <mergeCell ref="J31:K31"/>
    <mergeCell ref="J33:K33"/>
    <mergeCell ref="D26:F26"/>
    <mergeCell ref="I26:J26"/>
    <mergeCell ref="D27:F27"/>
    <mergeCell ref="I27:J27"/>
    <mergeCell ref="J29:K2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C000"/>
    <pageSetUpPr fitToPage="1"/>
  </sheetPr>
  <dimension ref="B1:V42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717</v>
      </c>
      <c r="J10" s="24" t="s">
        <v>27</v>
      </c>
      <c r="K10" s="493">
        <v>202305603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>FOOD REPUBLIC PTE LTD                                  Serangoon Nex@Fruit Stall                          23, Serangoon Central #B2-63                      Singapore 550683</v>
      </c>
      <c r="G11" s="481"/>
      <c r="H11" s="482"/>
      <c r="J11" s="26" t="s">
        <v>9</v>
      </c>
      <c r="K11" s="495">
        <v>45072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992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1184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960</v>
      </c>
      <c r="D18" s="461" t="str">
        <f>VLOOKUP(C18,'Sales Master'!B$3:D$530,2,)</f>
        <v>Lychee in Syrup 荔枝</v>
      </c>
      <c r="E18" s="461"/>
      <c r="F18" s="461"/>
      <c r="G18" s="76">
        <v>3</v>
      </c>
      <c r="H18" s="183" t="str">
        <f>VLOOKUP(C18,'Sales Master'!$B$3:$F$2413,5,0)</f>
        <v>12can/箱</v>
      </c>
      <c r="I18" s="462" t="str">
        <f>VLOOKUP(C18,'Sales Master'!$B$3:$E$2413,4,0)</f>
        <v>MiLi</v>
      </c>
      <c r="J18" s="462"/>
      <c r="K18" s="83">
        <f>VLOOKUP(C18,'Sales Master'!B$3:I$530,8,0)</f>
        <v>24</v>
      </c>
      <c r="L18" s="84">
        <f>K18*G18</f>
        <v>72</v>
      </c>
      <c r="N18" s="145">
        <f>VLOOKUP(C18,'Sales Master'!$B$3:$DA$2272,104,0)</f>
        <v>20</v>
      </c>
      <c r="O18" s="145">
        <f>K18-N18</f>
        <v>4</v>
      </c>
      <c r="P18" s="145">
        <f>O18*G18</f>
        <v>12</v>
      </c>
      <c r="R18" s="170">
        <f>N18*G18*0.07</f>
        <v>4.2</v>
      </c>
      <c r="S18" s="170">
        <f>N18*G18*0.08</f>
        <v>4.8</v>
      </c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72</v>
      </c>
      <c r="M30" s="63">
        <f>SUM(P18:P30)</f>
        <v>12</v>
      </c>
      <c r="N30" s="133">
        <f>M30/L30</f>
        <v>0.16666666666666666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72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6.4799999999999995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78.48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19" priority="1"/>
  </conditionalFormatting>
  <conditionalFormatting sqref="C19:C22">
    <cfRule type="duplicateValues" dxfId="118" priority="4"/>
  </conditionalFormatting>
  <conditionalFormatting sqref="C23">
    <cfRule type="duplicateValues" dxfId="117" priority="5"/>
  </conditionalFormatting>
  <conditionalFormatting sqref="C24">
    <cfRule type="duplicateValues" dxfId="116" priority="3"/>
  </conditionalFormatting>
  <conditionalFormatting sqref="C25">
    <cfRule type="duplicateValues" dxfId="115" priority="2"/>
  </conditionalFormatting>
  <conditionalFormatting sqref="C27">
    <cfRule type="duplicateValues" dxfId="114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B9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1073</v>
      </c>
      <c r="J10" s="24" t="s">
        <v>27</v>
      </c>
      <c r="K10" s="493">
        <v>202412360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PTE LTD - Dim Sum                                    BLK 671, Edgefield Plains  #01-01                  Singapore 820671              </v>
      </c>
      <c r="G11" s="481"/>
      <c r="H11" s="482"/>
      <c r="J11" s="26" t="s">
        <v>9</v>
      </c>
      <c r="K11" s="495">
        <v>45643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801</v>
      </c>
      <c r="D18" s="579" t="str">
        <f>VLOOKUP(C18,'Sales Master'!B$3:D$530,2,)</f>
        <v>Sweet Potato Powder 番薯粉</v>
      </c>
      <c r="E18" s="579"/>
      <c r="F18" s="579"/>
      <c r="G18" s="17">
        <v>2</v>
      </c>
      <c r="H18" s="56" t="str">
        <f>VLOOKUP(C18,'Sales Master'!$B$3:$F$2481,5,0)</f>
        <v>(500gm x 20Pkt)包</v>
      </c>
      <c r="I18" s="491" t="str">
        <f>VLOOKUP(C18,'Sales Master'!$B$3:$E$2481,4,0)</f>
        <v>RE-PACK</v>
      </c>
      <c r="J18" s="491"/>
      <c r="K18" s="30">
        <f>VLOOKUP(C18,'Sales Master'!$B$3:$J$530,9,0)</f>
        <v>32</v>
      </c>
      <c r="L18" s="31">
        <f>K18*G18</f>
        <v>64</v>
      </c>
      <c r="N18" s="145">
        <f>VLOOKUP(C18,'Sales Master'!$B$3:$DA$2272,104,0)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64</v>
      </c>
      <c r="M30" s="63">
        <f>SUM(P18:P27)-L30*0.02</f>
        <v>13.12</v>
      </c>
      <c r="N30" s="133">
        <f>M30/L30</f>
        <v>0.20499999999999999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64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5.76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69.760000000000005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8:F28"/>
    <mergeCell ref="J30:K30"/>
    <mergeCell ref="J32:K32"/>
    <mergeCell ref="J34:K34"/>
    <mergeCell ref="D25:F25"/>
    <mergeCell ref="D26:F26"/>
    <mergeCell ref="D27:F27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52"/>
  <sheetViews>
    <sheetView topLeftCell="B37" zoomScaleNormal="100" workbookViewId="0">
      <selection activeCell="K48" sqref="K48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3" width="11.54296875" style="19" customWidth="1"/>
    <col min="4" max="4" width="12.54296875" style="19" customWidth="1"/>
    <col min="5" max="5" width="1.54296875" style="19" customWidth="1"/>
    <col min="6" max="6" width="22.26953125" style="19" customWidth="1"/>
    <col min="7" max="7" width="8.54296875" style="19" customWidth="1"/>
    <col min="8" max="8" width="16.36328125" style="19" customWidth="1"/>
    <col min="9" max="9" width="1.54296875" style="19" customWidth="1"/>
    <col min="10" max="10" width="14.453125" style="19" customWidth="1"/>
    <col min="11" max="11" width="11.453125" style="19" customWidth="1"/>
    <col min="12" max="12" width="13.3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1077</v>
      </c>
      <c r="J10" s="24" t="s">
        <v>27</v>
      </c>
      <c r="K10" s="493">
        <v>202410556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81"/>
      <c r="H11" s="482"/>
      <c r="J11" s="26" t="s">
        <v>9</v>
      </c>
      <c r="K11" s="495">
        <v>45590</v>
      </c>
      <c r="L11" s="496"/>
    </row>
    <row r="12" spans="2:12" ht="20.149999999999999" customHeight="1" x14ac:dyDescent="0.45">
      <c r="B12" s="488" t="s">
        <v>1079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1376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1078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704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580" t="s">
        <v>406</v>
      </c>
      <c r="J17" s="581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17">
        <v>4</v>
      </c>
      <c r="H18" s="210" t="str">
        <f>VLOOKUP(C18,'Sales Master'!$B$3:$E$530,4,0)</f>
        <v>-</v>
      </c>
      <c r="I18" s="583" t="str">
        <f>VLOOKUP(C18,'Sales Master'!$B$3:F$530,5,0)</f>
        <v>1 KG/ Box盒</v>
      </c>
      <c r="J18" s="583"/>
      <c r="K18" s="80">
        <f>VLOOKUP(C18,'Sales Master'!$B$3:$BY$2274,76,0)</f>
        <v>10</v>
      </c>
      <c r="L18" s="64">
        <f t="shared" ref="L18:L20" si="0">K18*G18</f>
        <v>40</v>
      </c>
      <c r="N18" s="145">
        <f>VLOOKUP(C18,'Sales Master'!$B$3:$DA$2272,104,0)</f>
        <v>4.8</v>
      </c>
      <c r="O18" s="145">
        <f t="shared" ref="O18:O20" si="1">K18-N18</f>
        <v>5.2</v>
      </c>
      <c r="P18" s="145">
        <f t="shared" ref="P18:P20" si="2">O18*G18</f>
        <v>20.8</v>
      </c>
    </row>
    <row r="19" spans="2:16" ht="20.149999999999999" customHeight="1" x14ac:dyDescent="0.45">
      <c r="B19" s="29"/>
      <c r="C19" s="212" t="s">
        <v>727</v>
      </c>
      <c r="D19" s="461" t="str">
        <f>VLOOKUP(C19,'Sales Master'!B$3:D$530,2,)</f>
        <v>Mango Puree 芒果酱</v>
      </c>
      <c r="E19" s="461"/>
      <c r="F19" s="461"/>
      <c r="G19" s="17">
        <v>6</v>
      </c>
      <c r="H19" s="210" t="str">
        <f>VLOOKUP(C19,'Sales Master'!$B$3:$E$530,4,0)</f>
        <v>DO!</v>
      </c>
      <c r="I19" s="583" t="str">
        <f>VLOOKUP(C19,'Sales Master'!$B$3:F$530,5,0)</f>
        <v>1 KG/ Box盒</v>
      </c>
      <c r="J19" s="583"/>
      <c r="K19" s="80">
        <f>VLOOKUP(C19,'Sales Master'!$B$3:$BY$2274,76,0)</f>
        <v>8</v>
      </c>
      <c r="L19" s="64">
        <f t="shared" si="0"/>
        <v>48</v>
      </c>
      <c r="N19" s="145">
        <f>VLOOKUP(C19,'Sales Master'!$B$3:$DA$2272,104,0)</f>
        <v>2.15</v>
      </c>
      <c r="O19" s="145">
        <f t="shared" si="1"/>
        <v>5.85</v>
      </c>
      <c r="P19" s="145">
        <f t="shared" si="2"/>
        <v>35.099999999999994</v>
      </c>
    </row>
    <row r="20" spans="2:16" ht="20.149999999999999" customHeight="1" x14ac:dyDescent="0.45">
      <c r="B20" s="29"/>
      <c r="C20" s="212" t="s">
        <v>728</v>
      </c>
      <c r="D20" s="461" t="str">
        <f>VLOOKUP(C20,'Sales Master'!B$3:D$530,2,)</f>
        <v>Strawberry Puree 草莓</v>
      </c>
      <c r="E20" s="461"/>
      <c r="F20" s="461"/>
      <c r="G20" s="17">
        <v>6</v>
      </c>
      <c r="H20" s="210" t="str">
        <f>VLOOKUP(C20,'Sales Master'!$B$3:$E$530,4,0)</f>
        <v>DO!</v>
      </c>
      <c r="I20" s="583" t="str">
        <f>VLOOKUP(C20,'Sales Master'!$B$3:F$530,5,0)</f>
        <v>1 KG/ Box盒</v>
      </c>
      <c r="J20" s="583"/>
      <c r="K20" s="80">
        <f>VLOOKUP(C20,'Sales Master'!$B$3:$BY$2274,76,0)</f>
        <v>9</v>
      </c>
      <c r="L20" s="64">
        <f t="shared" si="0"/>
        <v>54</v>
      </c>
      <c r="N20" s="145">
        <f>VLOOKUP(C20,'Sales Master'!$B$3:$DA$2272,104,0)</f>
        <v>4.68</v>
      </c>
      <c r="O20" s="145">
        <f t="shared" si="1"/>
        <v>4.32</v>
      </c>
      <c r="P20" s="145">
        <f t="shared" si="2"/>
        <v>25.92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210"/>
      <c r="I21" s="583"/>
      <c r="J21" s="583"/>
      <c r="K21" s="80"/>
      <c r="L21" s="64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210"/>
      <c r="I22" s="583"/>
      <c r="J22" s="583"/>
      <c r="K22" s="80"/>
      <c r="L22" s="64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210"/>
      <c r="I23" s="583"/>
      <c r="J23" s="583"/>
      <c r="K23" s="80"/>
      <c r="L23" s="64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210"/>
      <c r="I24" s="583"/>
      <c r="J24" s="583"/>
      <c r="K24" s="8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210"/>
      <c r="I25" s="583"/>
      <c r="J25" s="583"/>
      <c r="K25" s="8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G26" s="17"/>
      <c r="H26" s="210"/>
      <c r="I26" s="212"/>
      <c r="J26" s="212"/>
      <c r="K26" s="80"/>
      <c r="L26" s="64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210"/>
      <c r="I27" s="212"/>
      <c r="J27" s="212"/>
      <c r="K27" s="80"/>
      <c r="L27" s="64"/>
      <c r="N27" s="145"/>
      <c r="O27" s="145"/>
      <c r="P27" s="145"/>
    </row>
    <row r="28" spans="2:16" ht="20.149999999999999" customHeight="1" x14ac:dyDescent="0.45">
      <c r="B28" s="29"/>
      <c r="C28" s="18" t="s">
        <v>1244</v>
      </c>
      <c r="G28" s="17"/>
      <c r="H28" s="17"/>
      <c r="I28" s="17"/>
      <c r="J28" s="17"/>
      <c r="K28" s="80"/>
      <c r="L28" s="64"/>
      <c r="N28" s="145"/>
      <c r="O28" s="145"/>
      <c r="P28" s="145"/>
    </row>
    <row r="29" spans="2:16" ht="20.149999999999999" customHeight="1" x14ac:dyDescent="0.45">
      <c r="B29" s="29"/>
      <c r="C29" s="147" t="s">
        <v>1383</v>
      </c>
      <c r="D29" s="18"/>
      <c r="E29" s="18"/>
      <c r="F29" s="18"/>
      <c r="G29" s="56"/>
      <c r="H29" s="17"/>
      <c r="K29" s="80"/>
      <c r="L29" s="64"/>
      <c r="N29" s="145"/>
      <c r="O29" s="145"/>
      <c r="P29" s="145"/>
    </row>
    <row r="30" spans="2:16" ht="20.149999999999999" customHeight="1" x14ac:dyDescent="0.45">
      <c r="B30" s="29"/>
      <c r="C30" s="147" t="s">
        <v>1330</v>
      </c>
      <c r="G30" s="56"/>
      <c r="H30" s="56"/>
      <c r="I30" s="85"/>
      <c r="J30" s="85"/>
      <c r="K30" s="152"/>
      <c r="L30" s="137"/>
      <c r="N30" s="145"/>
      <c r="O30" s="145"/>
      <c r="P30" s="145"/>
    </row>
    <row r="31" spans="2:16" ht="20.149999999999999" customHeight="1" x14ac:dyDescent="0.45">
      <c r="B31" s="29"/>
      <c r="C31" s="56"/>
      <c r="G31" s="56"/>
      <c r="H31" s="56"/>
      <c r="I31" s="85"/>
      <c r="J31" s="85"/>
      <c r="K31" s="152"/>
      <c r="L31" s="137"/>
    </row>
    <row r="32" spans="2:16" ht="20.149999999999999" customHeight="1" x14ac:dyDescent="0.45">
      <c r="B32" s="29"/>
      <c r="C32" s="582"/>
      <c r="D32" s="582"/>
      <c r="E32" s="582"/>
      <c r="F32" s="147"/>
      <c r="G32" s="76"/>
      <c r="H32" s="56"/>
      <c r="I32" s="56"/>
      <c r="J32" s="56"/>
      <c r="K32" s="150"/>
      <c r="L32" s="137"/>
    </row>
    <row r="33" spans="2:14" ht="20.149999999999999" customHeight="1" x14ac:dyDescent="0.45">
      <c r="B33" s="29"/>
      <c r="C33" s="153"/>
      <c r="E33" s="147"/>
      <c r="F33" s="147"/>
      <c r="G33" s="76"/>
      <c r="H33" s="56"/>
      <c r="I33" s="56"/>
      <c r="J33" s="56"/>
      <c r="K33" s="150"/>
      <c r="L33" s="137"/>
    </row>
    <row r="34" spans="2:14" ht="20.149999999999999" customHeight="1" x14ac:dyDescent="0.45">
      <c r="B34" s="29"/>
      <c r="C34" s="212"/>
      <c r="D34" s="461"/>
      <c r="E34" s="461"/>
      <c r="F34" s="461"/>
      <c r="G34" s="76"/>
      <c r="H34" s="210"/>
      <c r="I34" s="583"/>
      <c r="J34" s="583"/>
      <c r="K34" s="150"/>
      <c r="L34" s="137"/>
    </row>
    <row r="35" spans="2:14" ht="20.149999999999999" customHeight="1" x14ac:dyDescent="0.45">
      <c r="B35" s="29"/>
      <c r="C35" s="582"/>
      <c r="D35" s="582"/>
      <c r="E35" s="582"/>
      <c r="F35" s="147"/>
      <c r="G35" s="76"/>
      <c r="H35" s="56"/>
      <c r="I35" s="56"/>
      <c r="J35" s="56"/>
      <c r="K35" s="150"/>
      <c r="L35" s="137"/>
    </row>
    <row r="36" spans="2:14" ht="20.149999999999999" customHeight="1" x14ac:dyDescent="0.45">
      <c r="B36" s="29"/>
      <c r="C36" s="212"/>
      <c r="D36" s="501"/>
      <c r="E36" s="501"/>
      <c r="F36" s="501"/>
      <c r="G36" s="76"/>
      <c r="H36" s="186"/>
      <c r="I36" s="497"/>
      <c r="J36" s="497"/>
      <c r="K36" s="150"/>
      <c r="L36" s="137"/>
    </row>
    <row r="37" spans="2:14" ht="20.149999999999999" customHeight="1" x14ac:dyDescent="0.45">
      <c r="B37" s="29"/>
      <c r="C37" s="147"/>
      <c r="D37" s="461"/>
      <c r="E37" s="461"/>
      <c r="F37" s="461"/>
      <c r="G37" s="17"/>
      <c r="H37" s="17"/>
      <c r="I37" s="473"/>
      <c r="J37" s="473"/>
      <c r="K37" s="80"/>
      <c r="L37" s="137"/>
    </row>
    <row r="38" spans="2:14" ht="20.149999999999999" customHeight="1" thickBot="1" x14ac:dyDescent="0.5">
      <c r="B38" s="32"/>
      <c r="C38" s="57"/>
      <c r="D38" s="584"/>
      <c r="E38" s="584"/>
      <c r="F38" s="584"/>
      <c r="G38" s="57"/>
      <c r="H38" s="57"/>
      <c r="I38" s="527"/>
      <c r="J38" s="527"/>
      <c r="K38" s="159"/>
      <c r="L38" s="160"/>
    </row>
    <row r="39" spans="2:14" ht="20.149999999999999" customHeight="1" thickBot="1" x14ac:dyDescent="0.5">
      <c r="B39" s="36"/>
      <c r="L39" s="37"/>
    </row>
    <row r="40" spans="2:14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55" t="s">
        <v>13</v>
      </c>
      <c r="K40" s="456"/>
      <c r="L40" s="38">
        <f>SUM(L18:L39)</f>
        <v>142</v>
      </c>
      <c r="M40" s="63">
        <f>SUM(P18:P39)</f>
        <v>81.819999999999993</v>
      </c>
      <c r="N40" s="133">
        <f>M40/L40</f>
        <v>0.57619718309859147</v>
      </c>
    </row>
    <row r="41" spans="2:14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4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>
        <f>L40-L41</f>
        <v>142</v>
      </c>
    </row>
    <row r="43" spans="2:14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12.78</v>
      </c>
    </row>
    <row r="44" spans="2:14" ht="20.149999999999999" customHeight="1" thickBot="1" x14ac:dyDescent="0.5">
      <c r="B44" s="10" t="s">
        <v>700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>
        <f>L42+L43</f>
        <v>154.78</v>
      </c>
    </row>
    <row r="45" spans="2:14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 t="s">
        <v>460</v>
      </c>
    </row>
    <row r="46" spans="2:14" ht="20.149999999999999" customHeight="1" x14ac:dyDescent="0.45">
      <c r="B46" s="144" t="s">
        <v>690</v>
      </c>
      <c r="L46" s="37"/>
    </row>
    <row r="47" spans="2:14" ht="20.149999999999999" customHeight="1" x14ac:dyDescent="0.45">
      <c r="B47" s="36"/>
      <c r="L47" s="37"/>
    </row>
    <row r="48" spans="2:14" ht="20.149999999999999" customHeight="1" x14ac:dyDescent="0.45">
      <c r="B48" s="36"/>
      <c r="J48" s="45"/>
      <c r="K48" s="45"/>
      <c r="L48" s="46"/>
    </row>
    <row r="49" spans="2:12" ht="20.149999999999999" customHeight="1" x14ac:dyDescent="0.45">
      <c r="B49" s="36"/>
      <c r="J49" s="19" t="s">
        <v>26</v>
      </c>
      <c r="L49" s="37"/>
    </row>
    <row r="50" spans="2:12" ht="20.149999999999999" customHeight="1" x14ac:dyDescent="0.45">
      <c r="B50" s="44"/>
      <c r="C50" s="45"/>
      <c r="D50" s="45"/>
      <c r="J50" s="19" t="s">
        <v>714</v>
      </c>
      <c r="L50" s="37"/>
    </row>
    <row r="51" spans="2:12" ht="20.149999999999999" customHeight="1" x14ac:dyDescent="0.45">
      <c r="B51" s="36" t="s">
        <v>25</v>
      </c>
      <c r="J51" s="19" t="s">
        <v>715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43">
    <mergeCell ref="D37:F37"/>
    <mergeCell ref="I37:J37"/>
    <mergeCell ref="D18:F18"/>
    <mergeCell ref="I18:J18"/>
    <mergeCell ref="D21:F21"/>
    <mergeCell ref="I21:J21"/>
    <mergeCell ref="D20:F20"/>
    <mergeCell ref="I20:J20"/>
    <mergeCell ref="I23:J23"/>
    <mergeCell ref="D23:F23"/>
    <mergeCell ref="D22:F22"/>
    <mergeCell ref="D19:F19"/>
    <mergeCell ref="I22:J22"/>
    <mergeCell ref="I19:J19"/>
    <mergeCell ref="D24:F24"/>
    <mergeCell ref="I24:J24"/>
    <mergeCell ref="J44:K44"/>
    <mergeCell ref="D38:F38"/>
    <mergeCell ref="I38:J38"/>
    <mergeCell ref="J40:K40"/>
    <mergeCell ref="J42:K4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C35:E35"/>
    <mergeCell ref="D36:F36"/>
    <mergeCell ref="I36:J36"/>
    <mergeCell ref="C32:E32"/>
    <mergeCell ref="D34:F34"/>
    <mergeCell ref="I34:J34"/>
    <mergeCell ref="D25:F25"/>
    <mergeCell ref="I25:J25"/>
  </mergeCells>
  <conditionalFormatting sqref="C32">
    <cfRule type="duplicateValues" dxfId="113" priority="3"/>
  </conditionalFormatting>
  <conditionalFormatting sqref="C33">
    <cfRule type="duplicateValues" dxfId="112" priority="1"/>
  </conditionalFormatting>
  <conditionalFormatting sqref="C34">
    <cfRule type="duplicateValues" dxfId="111" priority="2"/>
  </conditionalFormatting>
  <conditionalFormatting sqref="C35:C36">
    <cfRule type="duplicateValues" dxfId="110" priority="4"/>
  </conditionalFormatting>
  <pageMargins left="0.70866141732283505" right="0.31496062992126" top="0.59055118110236204" bottom="0" header="0.31496062992126" footer="0.31496062992126"/>
  <pageSetup paperSize="9" scale="73" orientation="portrait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B20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632812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1081</v>
      </c>
      <c r="J10" s="24" t="s">
        <v>27</v>
      </c>
      <c r="K10" s="493">
        <v>202501007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v>
      </c>
      <c r="G11" s="481"/>
      <c r="H11" s="482"/>
      <c r="J11" s="26" t="s">
        <v>9</v>
      </c>
      <c r="K11" s="495">
        <v>45659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17">
        <v>3</v>
      </c>
      <c r="H18" s="186" t="str">
        <f>VLOOKUP(C18,'Sales Master'!$B$3:$F$2481,5,0)</f>
        <v>12 CAN/CARTON</v>
      </c>
      <c r="I18" s="497" t="str">
        <f>VLOOKUP(C18,'Sales Master'!$B$3:$E$2481,4,0)</f>
        <v>Statue</v>
      </c>
      <c r="J18" s="497"/>
      <c r="K18" s="30">
        <f>VLOOKUP(C18,'Sales Master'!$B$3:$J$530,9,0)</f>
        <v>22</v>
      </c>
      <c r="L18" s="31">
        <f>K18*G18</f>
        <v>66</v>
      </c>
      <c r="N18" s="145">
        <f>VLOOKUP(C18,'Sales Master'!$B$3:$DA$2272,104,0)</f>
        <v>16.5</v>
      </c>
      <c r="O18" s="145">
        <f>K18-N18</f>
        <v>5.5</v>
      </c>
      <c r="P18" s="145">
        <f>O18*G18</f>
        <v>16.5</v>
      </c>
    </row>
    <row r="19" spans="2:16" ht="20.149999999999999" customHeight="1" x14ac:dyDescent="0.45">
      <c r="B19" s="29"/>
      <c r="C19" s="212" t="s">
        <v>2258</v>
      </c>
      <c r="D19" s="461" t="str">
        <f>VLOOKUP(C19,'Sales Master'!B$3:D$530,2,)</f>
        <v>Longan in Syrup 龙眼</v>
      </c>
      <c r="E19" s="461"/>
      <c r="F19" s="461"/>
      <c r="G19" s="17">
        <v>3</v>
      </c>
      <c r="H19" s="186" t="str">
        <f>VLOOKUP(C19,'Sales Master'!$B$3:$F$2481,5,0)</f>
        <v>(565gm x 12)/ Ctn箱</v>
      </c>
      <c r="I19" s="497" t="str">
        <f>VLOOKUP(C19,'Sales Master'!$B$3:$E$2481,4,0)</f>
        <v>GoldenBoy</v>
      </c>
      <c r="J19" s="497"/>
      <c r="K19" s="30">
        <f>VLOOKUP(C19,'Sales Master'!$B$3:$J$530,9,0)</f>
        <v>24</v>
      </c>
      <c r="L19" s="31">
        <f>K19*G19</f>
        <v>72</v>
      </c>
      <c r="N19" s="145">
        <f>VLOOKUP(C19,'Sales Master'!$B$3:$DA$2272,104,0)</f>
        <v>20</v>
      </c>
      <c r="O19" s="145">
        <f>K19-N19</f>
        <v>4</v>
      </c>
      <c r="P19" s="145">
        <f>O19*G19</f>
        <v>12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138</v>
      </c>
      <c r="M29" s="63">
        <f>SUM(P18:P26)</f>
        <v>28.5</v>
      </c>
      <c r="N29" s="133">
        <f>M29/L29</f>
        <v>0.20652173913043478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138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12.42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150.41999999999999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D27:F27"/>
    <mergeCell ref="J29:K29"/>
    <mergeCell ref="J31:K31"/>
    <mergeCell ref="J33:K33"/>
    <mergeCell ref="I25:J25"/>
    <mergeCell ref="I26:J26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1082</v>
      </c>
      <c r="J10" s="68" t="s">
        <v>27</v>
      </c>
      <c r="K10" s="493">
        <v>202501096</v>
      </c>
      <c r="L10" s="494"/>
    </row>
    <row r="11" spans="2:15" ht="20.149999999999999" customHeight="1" x14ac:dyDescent="0.45">
      <c r="B11" s="477" t="s">
        <v>1275</v>
      </c>
      <c r="C11" s="478"/>
      <c r="D11" s="479"/>
      <c r="E11" s="25"/>
      <c r="F11" s="480" t="str">
        <f>VLOOKUP(H10,'Delivery Location'!A$4:N$460,2,0)</f>
        <v>CHEF RICKSON'S KITCHEN (Ally)                  Blk 177, Bishan Street 13 #04-177 Singapore 570177</v>
      </c>
      <c r="G11" s="481"/>
      <c r="H11" s="482"/>
      <c r="J11" s="69" t="s">
        <v>9</v>
      </c>
      <c r="K11" s="495">
        <v>45661</v>
      </c>
      <c r="L11" s="496"/>
    </row>
    <row r="12" spans="2:15" ht="20.149999999999999" customHeight="1" x14ac:dyDescent="0.45">
      <c r="B12" s="488" t="s">
        <v>572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  <c r="O12" s="19">
        <f>46.5/6</f>
        <v>7.75</v>
      </c>
    </row>
    <row r="13" spans="2:15" ht="20.149999999999999" customHeight="1" x14ac:dyDescent="0.45">
      <c r="B13" s="488"/>
      <c r="C13" s="449"/>
      <c r="D13" s="489"/>
      <c r="E13" s="25"/>
      <c r="F13" s="483"/>
      <c r="G13" s="484"/>
      <c r="H13" s="485"/>
      <c r="J13" s="69" t="s">
        <v>10</v>
      </c>
      <c r="K13" s="463" t="s">
        <v>711</v>
      </c>
      <c r="L13" s="464"/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  <c r="N14" s="19" t="s">
        <v>1287</v>
      </c>
    </row>
    <row r="15" spans="2:15" ht="18" customHeight="1" thickBot="1" x14ac:dyDescent="0.5">
      <c r="B15" s="50"/>
      <c r="C15" s="51"/>
      <c r="D15" s="52"/>
      <c r="E15" s="21"/>
      <c r="F15" s="465"/>
      <c r="G15" s="466"/>
      <c r="H15" s="467"/>
      <c r="J15" s="70" t="s">
        <v>11</v>
      </c>
      <c r="K15" s="468"/>
      <c r="L15" s="469"/>
    </row>
    <row r="16" spans="2:15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212" t="s">
        <v>949</v>
      </c>
      <c r="D18" s="461" t="str">
        <f>VLOOKUP(C18,'Sales Master'!B$3:D$530,2,)</f>
        <v>Nata 椰果芊 15mm</v>
      </c>
      <c r="E18" s="461"/>
      <c r="F18" s="461"/>
      <c r="G18" s="17">
        <v>24</v>
      </c>
      <c r="H18" s="186" t="str">
        <f>VLOOKUP(C18,'Sales Master'!$B$3:$F$2413,5,0)</f>
        <v>1 Can X A10 /罐</v>
      </c>
      <c r="I18" s="497" t="str">
        <f>VLOOKUP(C18,'Sales Master'!$B$3:$E$2413,4,0)</f>
        <v>Chefs</v>
      </c>
      <c r="J18" s="497"/>
      <c r="K18" s="30">
        <f>VLOOKUP(C18,'Sales Master'!B$3:Y$530,24,0)</f>
        <v>10</v>
      </c>
      <c r="L18" s="64">
        <f>K18*G18</f>
        <v>240</v>
      </c>
      <c r="N18" s="145">
        <f>VLOOKUP(C18,'Sales Master'!$B$3:$DA$2272,104,0)</f>
        <v>7.75</v>
      </c>
      <c r="O18" s="145">
        <f>K18-N18</f>
        <v>2.25</v>
      </c>
      <c r="P18" s="145">
        <f>O18*G18</f>
        <v>54</v>
      </c>
      <c r="R18" s="63">
        <f>G18*N18*0.07</f>
        <v>13.020000000000001</v>
      </c>
      <c r="S18" s="63">
        <f>N18*G18*0.08</f>
        <v>14.88</v>
      </c>
    </row>
    <row r="19" spans="2:22" ht="20.149999999999999" customHeight="1" x14ac:dyDescent="0.45">
      <c r="B19" s="29"/>
      <c r="C19" s="212" t="s">
        <v>960</v>
      </c>
      <c r="D19" s="461" t="str">
        <f>VLOOKUP(C19,'Sales Master'!B$3:D$530,2,)</f>
        <v>Lychee in Syrup 荔枝</v>
      </c>
      <c r="E19" s="461"/>
      <c r="F19" s="461"/>
      <c r="G19" s="17">
        <v>2</v>
      </c>
      <c r="H19" s="186" t="str">
        <f>VLOOKUP(C19,'Sales Master'!$B$3:$F$2413,5,0)</f>
        <v>12can/箱</v>
      </c>
      <c r="I19" s="497" t="str">
        <f>VLOOKUP(C19,'Sales Master'!$B$3:$E$2413,4,0)</f>
        <v>MiLi</v>
      </c>
      <c r="J19" s="497"/>
      <c r="K19" s="30">
        <f>VLOOKUP(C19,'Sales Master'!B$3:Y$530,24,0)</f>
        <v>26</v>
      </c>
      <c r="L19" s="64">
        <f>K19*G19</f>
        <v>52</v>
      </c>
      <c r="N19" s="145">
        <f>VLOOKUP(C19,'Sales Master'!$B$3:$DA$2272,104,0)</f>
        <v>20</v>
      </c>
      <c r="O19" s="145">
        <f>K19-N19</f>
        <v>6</v>
      </c>
      <c r="P19" s="145">
        <f>O19*G19</f>
        <v>12</v>
      </c>
      <c r="R19" s="63">
        <f>G19*N19*0.07</f>
        <v>2.8000000000000003</v>
      </c>
      <c r="S19" s="63">
        <f>N19*G19*0.08</f>
        <v>3.2</v>
      </c>
    </row>
    <row r="20" spans="2:22" ht="20.149999999999999" customHeight="1" x14ac:dyDescent="0.45">
      <c r="B20" s="29"/>
      <c r="C20" s="212" t="s">
        <v>2258</v>
      </c>
      <c r="D20" s="461" t="str">
        <f>VLOOKUP(C20,'Sales Master'!B$3:D$530,2,)</f>
        <v>Longan in Syrup 龙眼</v>
      </c>
      <c r="E20" s="461"/>
      <c r="F20" s="461"/>
      <c r="G20" s="17">
        <v>2</v>
      </c>
      <c r="H20" s="186" t="str">
        <f>VLOOKUP(C20,'Sales Master'!$B$3:$F$2413,5,0)</f>
        <v>(565gm x 12)/ Ctn箱</v>
      </c>
      <c r="I20" s="497" t="str">
        <f>VLOOKUP(C20,'Sales Master'!$B$3:$E$2413,4,0)</f>
        <v>GoldenBoy</v>
      </c>
      <c r="J20" s="497"/>
      <c r="K20" s="30">
        <f>VLOOKUP(C20,'Sales Master'!B$3:Y$530,24,0)</f>
        <v>26</v>
      </c>
      <c r="L20" s="64">
        <f>K20*G20</f>
        <v>52</v>
      </c>
      <c r="N20" s="145">
        <f>VLOOKUP(C20,'Sales Master'!$B$3:$DA$2272,104,0)</f>
        <v>20</v>
      </c>
      <c r="O20" s="145">
        <f>K20-N20</f>
        <v>6</v>
      </c>
      <c r="P20" s="145">
        <f>O20*G20</f>
        <v>12</v>
      </c>
      <c r="R20" s="63">
        <f>G20*N20*0.07</f>
        <v>2.8000000000000003</v>
      </c>
      <c r="S20" s="63">
        <f>N20*G20*0.08</f>
        <v>3.2</v>
      </c>
    </row>
    <row r="21" spans="2:22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  <c r="R21" s="63">
        <f>G21*N21*0.07</f>
        <v>0</v>
      </c>
      <c r="S21" s="63">
        <f>N21*G21*0.08</f>
        <v>0</v>
      </c>
    </row>
    <row r="22" spans="2:22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  <c r="R22" s="63"/>
      <c r="S22" s="63"/>
    </row>
    <row r="23" spans="2:22" ht="18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92"/>
      <c r="M23" s="65"/>
      <c r="N23" s="145"/>
      <c r="O23" s="145"/>
      <c r="P23" s="145"/>
      <c r="R23" s="63"/>
      <c r="S23" s="63"/>
    </row>
    <row r="24" spans="2:22" ht="20.149999999999999" customHeight="1" x14ac:dyDescent="0.45">
      <c r="B24" s="29"/>
      <c r="C24" s="582"/>
      <c r="D24" s="582"/>
      <c r="E24" s="582"/>
      <c r="F24" s="147"/>
      <c r="G24" s="76"/>
      <c r="H24" s="56"/>
      <c r="I24" s="56"/>
      <c r="J24" s="56"/>
      <c r="K24" s="150"/>
      <c r="L24" s="92"/>
      <c r="M24" s="65"/>
      <c r="N24" s="145"/>
      <c r="O24" s="145"/>
      <c r="P24" s="145"/>
      <c r="R24" s="63"/>
      <c r="S24" s="63"/>
    </row>
    <row r="25" spans="2:22" ht="20.149999999999999" customHeight="1" x14ac:dyDescent="0.45">
      <c r="B25" s="29"/>
      <c r="C25" s="212"/>
      <c r="D25" s="501"/>
      <c r="E25" s="501"/>
      <c r="F25" s="501"/>
      <c r="G25" s="76"/>
      <c r="H25" s="186"/>
      <c r="I25" s="497"/>
      <c r="J25" s="497"/>
      <c r="K25" s="150"/>
      <c r="L25" s="92"/>
      <c r="M25" s="65"/>
      <c r="N25" s="145"/>
      <c r="O25" s="145"/>
      <c r="P25" s="145"/>
      <c r="R25" s="63"/>
      <c r="S25" s="63"/>
      <c r="V25" s="19">
        <v>38</v>
      </c>
    </row>
    <row r="26" spans="2:22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99"/>
      <c r="L26" s="92"/>
      <c r="M26" s="65"/>
      <c r="R26" s="63"/>
      <c r="S26" s="63"/>
    </row>
    <row r="27" spans="2:22" ht="20.149999999999999" customHeight="1" x14ac:dyDescent="0.45">
      <c r="B27" s="29"/>
      <c r="C27" s="212"/>
      <c r="D27" s="461"/>
      <c r="E27" s="461"/>
      <c r="F27" s="461"/>
      <c r="G27" s="17"/>
      <c r="H27" s="186"/>
      <c r="I27" s="497"/>
      <c r="J27" s="497"/>
      <c r="K27" s="30"/>
      <c r="L27" s="92"/>
      <c r="M27" s="65"/>
      <c r="R27" s="63"/>
      <c r="S27" s="63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92"/>
      <c r="R28" s="63"/>
      <c r="S28" s="63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92"/>
      <c r="R29" s="63"/>
      <c r="S29" s="63"/>
    </row>
    <row r="30" spans="2:22" ht="20.149999999999999" customHeight="1" thickBot="1" x14ac:dyDescent="0.5">
      <c r="B30" s="32"/>
      <c r="C30" s="33"/>
      <c r="D30" s="490"/>
      <c r="E30" s="490"/>
      <c r="F30" s="490"/>
      <c r="G30" s="33"/>
      <c r="H30" s="57"/>
      <c r="I30" s="527"/>
      <c r="J30" s="527"/>
      <c r="K30" s="34"/>
      <c r="L30" s="7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72"/>
      <c r="J32" s="455" t="s">
        <v>13</v>
      </c>
      <c r="K32" s="456"/>
      <c r="L32" s="38">
        <f>SUM(L17:L29)</f>
        <v>344</v>
      </c>
      <c r="M32" s="63">
        <f>SUM(P18:P20)</f>
        <v>78</v>
      </c>
      <c r="N32" s="133">
        <f>M32/L32</f>
        <v>0.22674418604651161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72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72"/>
      <c r="J34" s="457" t="s">
        <v>19</v>
      </c>
      <c r="K34" s="458"/>
      <c r="L34" s="41">
        <f>L32-L33</f>
        <v>344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72"/>
      <c r="J35" s="102" t="s">
        <v>15</v>
      </c>
      <c r="K35" s="103">
        <f>'Sales Master'!$B$1</f>
        <v>0.09</v>
      </c>
      <c r="L35" s="42">
        <f>L34*K35</f>
        <v>30.959999999999997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72"/>
      <c r="J36" s="459" t="s">
        <v>21</v>
      </c>
      <c r="K36" s="460"/>
      <c r="L36" s="43">
        <f>L34+L35</f>
        <v>374.96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72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73"/>
      <c r="K42" s="45"/>
      <c r="L42" s="46"/>
    </row>
    <row r="43" spans="2:12" ht="20.149999999999999" customHeight="1" x14ac:dyDescent="0.45">
      <c r="B43" s="36" t="s">
        <v>25</v>
      </c>
      <c r="J43" s="67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74"/>
      <c r="J44" s="74"/>
      <c r="K44" s="48"/>
      <c r="L44" s="49"/>
    </row>
  </sheetData>
  <mergeCells count="42">
    <mergeCell ref="J36:K36"/>
    <mergeCell ref="D30:F30"/>
    <mergeCell ref="I30:J30"/>
    <mergeCell ref="J32:K32"/>
    <mergeCell ref="J34:K34"/>
    <mergeCell ref="D28:F28"/>
    <mergeCell ref="I28:J28"/>
    <mergeCell ref="D29:F29"/>
    <mergeCell ref="I29:J29"/>
    <mergeCell ref="D27:F27"/>
    <mergeCell ref="I27:J27"/>
    <mergeCell ref="D25:F25"/>
    <mergeCell ref="I25:J25"/>
    <mergeCell ref="C24:E24"/>
    <mergeCell ref="D26:F26"/>
    <mergeCell ref="I26:J26"/>
    <mergeCell ref="D21:F21"/>
    <mergeCell ref="I21:J21"/>
    <mergeCell ref="D22:F22"/>
    <mergeCell ref="I22:J22"/>
    <mergeCell ref="D23:F23"/>
    <mergeCell ref="I23:J23"/>
    <mergeCell ref="D17:F17"/>
    <mergeCell ref="I17:J17"/>
    <mergeCell ref="D18:F18"/>
    <mergeCell ref="I18:J18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:C25">
    <cfRule type="duplicateValues" dxfId="109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7030A0"/>
    <pageSetUpPr fitToPage="1"/>
  </sheetPr>
  <dimension ref="B1:V48"/>
  <sheetViews>
    <sheetView topLeftCell="A29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1084</v>
      </c>
      <c r="J10" s="24" t="s">
        <v>27</v>
      </c>
      <c r="K10" s="493">
        <v>202412225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Somerset Orchard@Drink stall No: 17   313 Orchard Road #05-01                Singapore 238895                           </v>
      </c>
      <c r="G11" s="481"/>
      <c r="H11" s="482"/>
      <c r="J11" s="26" t="s">
        <v>9</v>
      </c>
      <c r="K11" s="495">
        <v>45636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831</v>
      </c>
      <c r="D18" s="461" t="str">
        <f>VLOOKUP(C18,'Sales Master'!B$3:D$530,2,)</f>
        <v>Chin Chow  仙草</v>
      </c>
      <c r="E18" s="461"/>
      <c r="F18" s="461"/>
      <c r="G18" s="76">
        <v>3</v>
      </c>
      <c r="H18" s="183" t="str">
        <f>VLOOKUP(C18,'Sales Master'!$B$3:$F$2413,5,0)</f>
        <v>4 KG/ Pkt包</v>
      </c>
      <c r="I18" s="462" t="str">
        <f>VLOOKUP(C18,'Sales Master'!$B$3:$E$2413,4,0)</f>
        <v>TSM</v>
      </c>
      <c r="J18" s="462"/>
      <c r="K18" s="83">
        <f>VLOOKUP(C18,'Sales Master'!B$3:I$530,8,0)</f>
        <v>6</v>
      </c>
      <c r="L18" s="84">
        <f>K18*G18</f>
        <v>18</v>
      </c>
      <c r="N18" s="145">
        <f>VLOOKUP(C18,'Sales Master'!$B$3:$DA$2272,104,0)</f>
        <v>4</v>
      </c>
      <c r="O18" s="145">
        <f>K18-N18</f>
        <v>2</v>
      </c>
      <c r="P18" s="145">
        <f>O18*G18</f>
        <v>6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212" t="s">
        <v>1033</v>
      </c>
      <c r="D19" s="461" t="str">
        <f>VLOOKUP(C19,'Sales Master'!B$3:D$530,2,)</f>
        <v>Pandan Leaf 班兰叶</v>
      </c>
      <c r="E19" s="461"/>
      <c r="F19" s="461"/>
      <c r="G19" s="76">
        <v>2</v>
      </c>
      <c r="H19" s="183" t="str">
        <f>VLOOKUP(C19,'Sales Master'!$B$3:$F$2413,5,0)</f>
        <v>1 KG</v>
      </c>
      <c r="I19" s="462" t="str">
        <f>VLOOKUP(C19,'Sales Master'!$B$3:$E$2413,4,0)</f>
        <v>-</v>
      </c>
      <c r="J19" s="462"/>
      <c r="K19" s="83">
        <f>VLOOKUP(C19,'Sales Master'!B$3:I$530,8,0)</f>
        <v>1.8</v>
      </c>
      <c r="L19" s="84">
        <f t="shared" ref="L19" si="0">K19*G19</f>
        <v>3.6</v>
      </c>
      <c r="N19" s="145">
        <f>VLOOKUP(C19,'Sales Master'!$B$3:$DA$2272,104,0)</f>
        <v>1.1000000000000001</v>
      </c>
      <c r="O19" s="145">
        <f t="shared" ref="O19" si="1">K19-N19</f>
        <v>0.7</v>
      </c>
      <c r="P19" s="145">
        <f t="shared" ref="P19" si="2">O19*G19</f>
        <v>1.4</v>
      </c>
      <c r="Q19" s="170"/>
      <c r="R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212"/>
      <c r="G22" s="76"/>
      <c r="H22" s="183"/>
      <c r="I22" s="209"/>
      <c r="J22" s="209"/>
      <c r="K22" s="83"/>
      <c r="L22" s="84"/>
      <c r="N22" s="145"/>
      <c r="O22" s="145"/>
      <c r="P22" s="145"/>
      <c r="Q22" s="170"/>
    </row>
    <row r="23" spans="2:22" ht="20.149999999999999" customHeight="1" x14ac:dyDescent="0.45">
      <c r="B23" s="29"/>
      <c r="D23" s="212"/>
      <c r="G23" s="76"/>
      <c r="H23" s="183"/>
      <c r="I23" s="209"/>
      <c r="J23" s="209"/>
      <c r="K23" s="83"/>
      <c r="L23" s="84"/>
      <c r="N23" s="145"/>
      <c r="O23" s="145"/>
      <c r="P23" s="145"/>
      <c r="Q23" s="170"/>
    </row>
    <row r="24" spans="2:22" ht="20.149999999999999" customHeight="1" x14ac:dyDescent="0.45">
      <c r="B24" s="29"/>
      <c r="D24" s="212"/>
      <c r="G24" s="76"/>
      <c r="H24" s="183"/>
      <c r="I24" s="209"/>
      <c r="J24" s="209"/>
      <c r="K24" s="83"/>
      <c r="L24" s="84"/>
      <c r="N24" s="145"/>
      <c r="O24" s="145"/>
      <c r="P24" s="145"/>
      <c r="Q24" s="170"/>
    </row>
    <row r="25" spans="2:22" ht="20.149999999999999" customHeight="1" x14ac:dyDescent="0.45">
      <c r="B25" s="29"/>
      <c r="D25" s="212"/>
      <c r="G25" s="76"/>
      <c r="H25" s="183"/>
      <c r="I25" s="462"/>
      <c r="J25" s="462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D26" s="212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D27" s="404"/>
      <c r="F27" s="404"/>
      <c r="G27" s="147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404"/>
      <c r="F28" s="404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D29" s="212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D30" s="404"/>
      <c r="F30" s="404"/>
      <c r="G30" s="147"/>
      <c r="H30" s="56"/>
      <c r="I30" s="56"/>
      <c r="J30" s="56"/>
      <c r="K30" s="30"/>
      <c r="L30" s="31"/>
    </row>
    <row r="31" spans="2:22" ht="20.149999999999999" customHeight="1" x14ac:dyDescent="0.45">
      <c r="B31" s="29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56"/>
      <c r="I32" s="491"/>
      <c r="J32" s="491"/>
      <c r="K32" s="30"/>
      <c r="L32" s="31"/>
    </row>
    <row r="33" spans="2:14" ht="20.149999999999999" customHeight="1" x14ac:dyDescent="0.45">
      <c r="B33" s="29"/>
      <c r="C33" s="17"/>
      <c r="G33" s="76"/>
      <c r="H33" s="56"/>
      <c r="I33" s="56"/>
      <c r="J33" s="56"/>
      <c r="K33" s="30"/>
      <c r="L33" s="31"/>
    </row>
    <row r="34" spans="2:14" ht="20.149999999999999" customHeight="1" x14ac:dyDescent="0.45">
      <c r="B34" s="104"/>
      <c r="C34" s="105"/>
      <c r="D34" s="454"/>
      <c r="E34" s="454"/>
      <c r="F34" s="454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SUM(L18:L35)</f>
        <v>21.6</v>
      </c>
      <c r="M36" s="63">
        <f>SUM(P18:P33)</f>
        <v>7.4</v>
      </c>
      <c r="N36" s="133">
        <f>M36/L36</f>
        <v>0.34259259259259256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21.6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1.944</v>
      </c>
    </row>
    <row r="40" spans="2:14" ht="20.149999999999999" customHeight="1" thickBot="1" x14ac:dyDescent="0.5">
      <c r="B40" s="10" t="s">
        <v>700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23.544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690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1">
    <mergeCell ref="J40:K40"/>
    <mergeCell ref="I26:J26"/>
    <mergeCell ref="D32:F32"/>
    <mergeCell ref="I32:J32"/>
    <mergeCell ref="D34:F34"/>
    <mergeCell ref="J36:K36"/>
    <mergeCell ref="J38:K38"/>
    <mergeCell ref="D20:F20"/>
    <mergeCell ref="I20:J20"/>
    <mergeCell ref="D21:F21"/>
    <mergeCell ref="I21:J21"/>
    <mergeCell ref="I25:J25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108" priority="1381"/>
  </conditionalFormatting>
  <conditionalFormatting sqref="C21:C22 D23:D24">
    <cfRule type="duplicateValues" dxfId="107" priority="2622"/>
  </conditionalFormatting>
  <conditionalFormatting sqref="D25">
    <cfRule type="duplicateValues" dxfId="106" priority="1371"/>
  </conditionalFormatting>
  <conditionalFormatting sqref="F30:G30 D26:D30 F27:G28">
    <cfRule type="duplicateValues" dxfId="105" priority="255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367C-1283-465F-8575-D037F346AAC3}">
  <sheetPr>
    <tabColor rgb="FFFFC000"/>
    <pageSetUpPr fitToPage="1"/>
  </sheetPr>
  <dimension ref="A1:R54"/>
  <sheetViews>
    <sheetView topLeftCell="B15" zoomScaleNormal="100" workbookViewId="0">
      <selection activeCell="I20" sqref="I20:J2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122</v>
      </c>
      <c r="J10" s="24" t="s">
        <v>27</v>
      </c>
      <c r="K10" s="493">
        <v>202412345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Combined Stalls                                                       1 Kim Seng Promenade #03-116.              Great World City Singapore 237994</v>
      </c>
      <c r="G11" s="481"/>
      <c r="H11" s="482"/>
      <c r="J11" s="26" t="s">
        <v>9</v>
      </c>
      <c r="K11" s="495">
        <v>45643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2260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242" t="s">
        <v>61</v>
      </c>
      <c r="C18" s="212" t="e">
        <f>VLOOKUP(B18,'Sales Master'!A$3:B$530,2,0)</f>
        <v>#N/A</v>
      </c>
      <c r="D18" s="461" t="e">
        <f>VLOOKUP(C18,'Sales Master'!B$3:D$530,2,)</f>
        <v>#N/A</v>
      </c>
      <c r="E18" s="461"/>
      <c r="F18" s="461"/>
      <c r="G18" s="76">
        <v>3</v>
      </c>
      <c r="H18" s="247" t="e">
        <f>VLOOKUP(C18,'Sales Master'!$B$3:$F$2413,5,0)</f>
        <v>#N/A</v>
      </c>
      <c r="I18" s="462" t="e">
        <f>VLOOKUP(C18,'Sales Master'!$B$3:$E$2413,4,0)</f>
        <v>#N/A</v>
      </c>
      <c r="J18" s="462"/>
      <c r="K18" s="83" t="e">
        <f>VLOOKUP(C18,'Sales Master'!B$3:I$530,8,0)</f>
        <v>#N/A</v>
      </c>
      <c r="L18" s="84" t="e">
        <f t="shared" ref="L18" si="0">K18*G18</f>
        <v>#N/A</v>
      </c>
      <c r="N18" s="145" t="e">
        <f>VLOOKUP(C18,'Sales Master'!$B$3:$DA$2272,104,0)</f>
        <v>#N/A</v>
      </c>
      <c r="O18" s="145" t="e">
        <f t="shared" ref="O18" si="1">K18-N18</f>
        <v>#N/A</v>
      </c>
      <c r="P18" s="145" t="e">
        <f t="shared" ref="P18" si="2">O18*G18</f>
        <v>#N/A</v>
      </c>
      <c r="Q18" s="63"/>
      <c r="R18" s="63"/>
    </row>
    <row r="19" spans="1:18" ht="20.149999999999999" customHeight="1" x14ac:dyDescent="0.45">
      <c r="A19" s="65"/>
      <c r="B19" s="242" t="s">
        <v>104</v>
      </c>
      <c r="C19" s="212" t="e">
        <f>VLOOKUP(B19,'Sales Master'!A$3:B$530,2,0)</f>
        <v>#N/A</v>
      </c>
      <c r="D19" s="461" t="e">
        <f>VLOOKUP(C19,'Sales Master'!B$3:D$530,2,)</f>
        <v>#N/A</v>
      </c>
      <c r="E19" s="461"/>
      <c r="F19" s="461"/>
      <c r="G19" s="76">
        <v>6</v>
      </c>
      <c r="H19" s="247" t="e">
        <f>VLOOKUP(C19,'Sales Master'!$B$3:$F$2413,5,0)</f>
        <v>#N/A</v>
      </c>
      <c r="I19" s="462" t="e">
        <f>VLOOKUP(C19,'Sales Master'!$B$3:$E$2413,4,0)</f>
        <v>#N/A</v>
      </c>
      <c r="J19" s="462"/>
      <c r="K19" s="83" t="e">
        <f>VLOOKUP(C19,'Sales Master'!B$3:I$530,8,0)</f>
        <v>#N/A</v>
      </c>
      <c r="L19" s="84" t="e">
        <f t="shared" ref="L19:L28" si="3">K19*G19</f>
        <v>#N/A</v>
      </c>
      <c r="N19" s="145" t="e">
        <f>VLOOKUP(C19,'Sales Master'!$B$3:$DA$2272,104,0)</f>
        <v>#N/A</v>
      </c>
      <c r="O19" s="145" t="e">
        <f t="shared" ref="O19:O28" si="4">K19-N19</f>
        <v>#N/A</v>
      </c>
      <c r="P19" s="145" t="e">
        <f t="shared" ref="P19:P28" si="5">O19*G19</f>
        <v>#N/A</v>
      </c>
      <c r="Q19" s="63"/>
      <c r="R19" s="63"/>
    </row>
    <row r="20" spans="1:18" ht="20.149999999999999" customHeight="1" x14ac:dyDescent="0.45">
      <c r="A20" s="65"/>
      <c r="B20" s="242" t="s">
        <v>1505</v>
      </c>
      <c r="C20" s="212" t="e">
        <f>VLOOKUP(B20,'Sales Master'!A$3:B$530,2,0)</f>
        <v>#N/A</v>
      </c>
      <c r="D20" s="461" t="e">
        <f>VLOOKUP(C20,'Sales Master'!B$3:D$530,2,)</f>
        <v>#N/A</v>
      </c>
      <c r="E20" s="461"/>
      <c r="F20" s="461"/>
      <c r="G20" s="76">
        <v>1</v>
      </c>
      <c r="H20" s="247" t="e">
        <f>VLOOKUP(C20,'Sales Master'!$B$3:$F$2413,5,0)</f>
        <v>#N/A</v>
      </c>
      <c r="I20" s="462" t="e">
        <f>VLOOKUP(C20,'Sales Master'!$B$3:$E$2413,4,0)</f>
        <v>#N/A</v>
      </c>
      <c r="J20" s="462"/>
      <c r="K20" s="83" t="e">
        <f>VLOOKUP(C20,'Sales Master'!B$3:I$530,8,0)</f>
        <v>#N/A</v>
      </c>
      <c r="L20" s="84" t="e">
        <f t="shared" si="3"/>
        <v>#N/A</v>
      </c>
      <c r="N20" s="145" t="e">
        <f>VLOOKUP(C20,'Sales Master'!$B$3:$DA$2272,104,0)</f>
        <v>#N/A</v>
      </c>
      <c r="O20" s="145" t="e">
        <f t="shared" si="4"/>
        <v>#N/A</v>
      </c>
      <c r="P20" s="145" t="e">
        <f t="shared" si="5"/>
        <v>#N/A</v>
      </c>
      <c r="Q20" s="63"/>
      <c r="R20" s="63"/>
    </row>
    <row r="21" spans="1:18" ht="20.149999999999999" customHeight="1" x14ac:dyDescent="0.45">
      <c r="A21" s="65"/>
      <c r="B21" s="242" t="s">
        <v>403</v>
      </c>
      <c r="C21" s="212" t="e">
        <f>VLOOKUP(B21,'Sales Master'!A$3:B$530,2,0)</f>
        <v>#N/A</v>
      </c>
      <c r="D21" s="461" t="e">
        <f>VLOOKUP(C21,'Sales Master'!B$3:D$530,2,)</f>
        <v>#N/A</v>
      </c>
      <c r="E21" s="461"/>
      <c r="F21" s="461"/>
      <c r="G21" s="76">
        <v>1</v>
      </c>
      <c r="H21" s="247" t="e">
        <f>VLOOKUP(C21,'Sales Master'!$B$3:$F$2413,5,0)</f>
        <v>#N/A</v>
      </c>
      <c r="I21" s="462" t="e">
        <f>VLOOKUP(C21,'Sales Master'!$B$3:$E$2413,4,0)</f>
        <v>#N/A</v>
      </c>
      <c r="J21" s="462"/>
      <c r="K21" s="83" t="e">
        <f>VLOOKUP(C21,'Sales Master'!B$3:I$530,8,0)</f>
        <v>#N/A</v>
      </c>
      <c r="L21" s="84" t="e">
        <f t="shared" si="3"/>
        <v>#N/A</v>
      </c>
      <c r="N21" s="145" t="e">
        <f>VLOOKUP(C21,'Sales Master'!$B$3:$DA$2272,104,0)</f>
        <v>#N/A</v>
      </c>
      <c r="O21" s="145" t="e">
        <f t="shared" si="4"/>
        <v>#N/A</v>
      </c>
      <c r="P21" s="145" t="e">
        <f t="shared" si="5"/>
        <v>#N/A</v>
      </c>
      <c r="Q21" s="63"/>
      <c r="R21" s="63"/>
    </row>
    <row r="22" spans="1:18" ht="20.149999999999999" customHeight="1" x14ac:dyDescent="0.45">
      <c r="A22" s="65"/>
      <c r="B22" s="242" t="s">
        <v>70</v>
      </c>
      <c r="C22" s="212" t="e">
        <f>VLOOKUP(B22,'Sales Master'!A$3:B$530,2,0)</f>
        <v>#N/A</v>
      </c>
      <c r="D22" s="461" t="e">
        <f>VLOOKUP(C22,'Sales Master'!B$3:D$530,2,)</f>
        <v>#N/A</v>
      </c>
      <c r="E22" s="461"/>
      <c r="F22" s="461"/>
      <c r="G22" s="76">
        <v>2</v>
      </c>
      <c r="H22" s="247" t="e">
        <f>VLOOKUP(C22,'Sales Master'!$B$3:$F$2413,5,0)</f>
        <v>#N/A</v>
      </c>
      <c r="I22" s="462" t="e">
        <f>VLOOKUP(C22,'Sales Master'!$B$3:$E$2413,4,0)</f>
        <v>#N/A</v>
      </c>
      <c r="J22" s="462"/>
      <c r="K22" s="83" t="e">
        <f>VLOOKUP(C22,'Sales Master'!B$3:I$530,8,0)</f>
        <v>#N/A</v>
      </c>
      <c r="L22" s="84" t="e">
        <f t="shared" si="3"/>
        <v>#N/A</v>
      </c>
      <c r="N22" s="145" t="e">
        <f>VLOOKUP(C22,'Sales Master'!$B$3:$DA$2272,104,0)</f>
        <v>#N/A</v>
      </c>
      <c r="O22" s="145" t="e">
        <f t="shared" si="4"/>
        <v>#N/A</v>
      </c>
      <c r="P22" s="145" t="e">
        <f t="shared" si="5"/>
        <v>#N/A</v>
      </c>
      <c r="Q22" s="63"/>
      <c r="R22" s="63"/>
    </row>
    <row r="23" spans="1:18" ht="20.149999999999999" customHeight="1" x14ac:dyDescent="0.45">
      <c r="A23" s="65"/>
      <c r="B23" s="242" t="s">
        <v>98</v>
      </c>
      <c r="C23" s="212" t="e">
        <f>VLOOKUP(B23,'Sales Master'!A$3:B$530,2,0)</f>
        <v>#N/A</v>
      </c>
      <c r="D23" s="461" t="e">
        <f>VLOOKUP(C23,'Sales Master'!B$3:D$530,2,)</f>
        <v>#N/A</v>
      </c>
      <c r="E23" s="461"/>
      <c r="F23" s="461"/>
      <c r="G23" s="76">
        <v>6</v>
      </c>
      <c r="H23" s="247" t="e">
        <f>VLOOKUP(C23,'Sales Master'!$B$3:$F$2413,5,0)</f>
        <v>#N/A</v>
      </c>
      <c r="I23" s="462" t="e">
        <f>VLOOKUP(C23,'Sales Master'!$B$3:$E$2413,4,0)</f>
        <v>#N/A</v>
      </c>
      <c r="J23" s="462"/>
      <c r="K23" s="83" t="e">
        <f>VLOOKUP(C23,'Sales Master'!B$3:I$530,8,0)</f>
        <v>#N/A</v>
      </c>
      <c r="L23" s="84" t="e">
        <f t="shared" si="3"/>
        <v>#N/A</v>
      </c>
      <c r="N23" s="145" t="e">
        <f>VLOOKUP(C23,'Sales Master'!$B$3:$DA$2272,104,0)</f>
        <v>#N/A</v>
      </c>
      <c r="O23" s="145" t="e">
        <f t="shared" si="4"/>
        <v>#N/A</v>
      </c>
      <c r="P23" s="145" t="e">
        <f t="shared" si="5"/>
        <v>#N/A</v>
      </c>
      <c r="Q23" s="63"/>
      <c r="R23" s="63"/>
    </row>
    <row r="24" spans="1:18" ht="20.149999999999999" customHeight="1" x14ac:dyDescent="0.45">
      <c r="A24" s="65"/>
      <c r="B24" s="242" t="s">
        <v>81</v>
      </c>
      <c r="C24" s="212" t="e">
        <f>VLOOKUP(B24,'Sales Master'!A$3:B$530,2,0)</f>
        <v>#N/A</v>
      </c>
      <c r="D24" s="461" t="e">
        <f>VLOOKUP(C24,'Sales Master'!B$3:D$530,2,)</f>
        <v>#N/A</v>
      </c>
      <c r="E24" s="461"/>
      <c r="F24" s="461"/>
      <c r="G24" s="76">
        <v>4</v>
      </c>
      <c r="H24" s="247" t="e">
        <f>VLOOKUP(C24,'Sales Master'!$B$3:$F$2413,5,0)</f>
        <v>#N/A</v>
      </c>
      <c r="I24" s="462" t="e">
        <f>VLOOKUP(C24,'Sales Master'!$B$3:$E$2413,4,0)</f>
        <v>#N/A</v>
      </c>
      <c r="J24" s="462"/>
      <c r="K24" s="83" t="e">
        <f>VLOOKUP(C24,'Sales Master'!B$3:I$530,8,0)</f>
        <v>#N/A</v>
      </c>
      <c r="L24" s="84" t="e">
        <f t="shared" si="3"/>
        <v>#N/A</v>
      </c>
      <c r="N24" s="145" t="e">
        <f>VLOOKUP(C24,'Sales Master'!$B$3:$DA$2272,104,0)</f>
        <v>#N/A</v>
      </c>
      <c r="O24" s="145" t="e">
        <f t="shared" si="4"/>
        <v>#N/A</v>
      </c>
      <c r="P24" s="145" t="e">
        <f t="shared" si="5"/>
        <v>#N/A</v>
      </c>
      <c r="Q24" s="63"/>
      <c r="R24" s="63"/>
    </row>
    <row r="25" spans="1:18" ht="20.149999999999999" customHeight="1" x14ac:dyDescent="0.45">
      <c r="A25" s="65"/>
      <c r="B25" s="242" t="s">
        <v>72</v>
      </c>
      <c r="C25" s="212" t="e">
        <f>VLOOKUP(B25,'Sales Master'!A$3:B$530,2,0)</f>
        <v>#N/A</v>
      </c>
      <c r="D25" s="461" t="e">
        <f>VLOOKUP(C25,'Sales Master'!B$3:D$530,2,)</f>
        <v>#N/A</v>
      </c>
      <c r="E25" s="461"/>
      <c r="F25" s="461"/>
      <c r="G25" s="76">
        <v>3</v>
      </c>
      <c r="H25" s="247" t="e">
        <f>VLOOKUP(C25,'Sales Master'!$B$3:$F$2413,5,0)</f>
        <v>#N/A</v>
      </c>
      <c r="I25" s="462" t="e">
        <f>VLOOKUP(C25,'Sales Master'!$B$3:$E$2413,4,0)</f>
        <v>#N/A</v>
      </c>
      <c r="J25" s="462"/>
      <c r="K25" s="83" t="e">
        <f>VLOOKUP(C25,'Sales Master'!B$3:I$530,8,0)</f>
        <v>#N/A</v>
      </c>
      <c r="L25" s="84" t="e">
        <f t="shared" si="3"/>
        <v>#N/A</v>
      </c>
      <c r="N25" s="145" t="e">
        <f>VLOOKUP(C25,'Sales Master'!$B$3:$DA$2272,104,0)</f>
        <v>#N/A</v>
      </c>
      <c r="O25" s="145" t="e">
        <f t="shared" si="4"/>
        <v>#N/A</v>
      </c>
      <c r="P25" s="145" t="e">
        <f t="shared" si="5"/>
        <v>#N/A</v>
      </c>
      <c r="Q25" s="63"/>
      <c r="R25" s="63"/>
    </row>
    <row r="26" spans="1:18" ht="20.149999999999999" customHeight="1" x14ac:dyDescent="0.45">
      <c r="A26" s="65"/>
      <c r="B26" s="242" t="s">
        <v>82</v>
      </c>
      <c r="C26" s="212" t="e">
        <f>VLOOKUP(B26,'Sales Master'!A$3:B$530,2,0)</f>
        <v>#N/A</v>
      </c>
      <c r="D26" s="461" t="e">
        <f>VLOOKUP(C26,'Sales Master'!B$3:D$530,2,)</f>
        <v>#N/A</v>
      </c>
      <c r="E26" s="461"/>
      <c r="F26" s="461"/>
      <c r="G26" s="76">
        <v>4</v>
      </c>
      <c r="H26" s="247" t="e">
        <f>VLOOKUP(C26,'Sales Master'!$B$3:$F$2413,5,0)</f>
        <v>#N/A</v>
      </c>
      <c r="I26" s="462" t="e">
        <f>VLOOKUP(C26,'Sales Master'!$B$3:$E$2413,4,0)</f>
        <v>#N/A</v>
      </c>
      <c r="J26" s="462"/>
      <c r="K26" s="83" t="e">
        <f>VLOOKUP(C26,'Sales Master'!B$3:I$530,8,0)</f>
        <v>#N/A</v>
      </c>
      <c r="L26" s="84" t="e">
        <f t="shared" si="3"/>
        <v>#N/A</v>
      </c>
      <c r="N26" s="145" t="e">
        <f>VLOOKUP(C26,'Sales Master'!$B$3:$DA$2272,104,0)</f>
        <v>#N/A</v>
      </c>
      <c r="O26" s="145" t="e">
        <f t="shared" si="4"/>
        <v>#N/A</v>
      </c>
      <c r="P26" s="145" t="e">
        <f t="shared" si="5"/>
        <v>#N/A</v>
      </c>
      <c r="Q26" s="63"/>
      <c r="R26" s="63"/>
    </row>
    <row r="27" spans="1:18" ht="20.149999999999999" customHeight="1" x14ac:dyDescent="0.45">
      <c r="A27" s="65"/>
      <c r="B27" s="242" t="s">
        <v>80</v>
      </c>
      <c r="C27" s="212" t="e">
        <f>VLOOKUP(B27,'Sales Master'!A$3:B$530,2,0)</f>
        <v>#N/A</v>
      </c>
      <c r="D27" s="461" t="e">
        <f>VLOOKUP(C27,'Sales Master'!B$3:D$530,2,)</f>
        <v>#N/A</v>
      </c>
      <c r="E27" s="461"/>
      <c r="F27" s="461"/>
      <c r="G27" s="76">
        <v>3</v>
      </c>
      <c r="H27" s="247" t="e">
        <f>VLOOKUP(C27,'Sales Master'!$B$3:$F$2413,5,0)</f>
        <v>#N/A</v>
      </c>
      <c r="I27" s="462" t="e">
        <f>VLOOKUP(C27,'Sales Master'!$B$3:$E$2413,4,0)</f>
        <v>#N/A</v>
      </c>
      <c r="J27" s="462"/>
      <c r="K27" s="83" t="e">
        <f>VLOOKUP(C27,'Sales Master'!B$3:I$530,8,0)</f>
        <v>#N/A</v>
      </c>
      <c r="L27" s="84" t="e">
        <f t="shared" si="3"/>
        <v>#N/A</v>
      </c>
      <c r="N27" s="145" t="e">
        <f>VLOOKUP(C27,'Sales Master'!$B$3:$DA$2272,104,0)</f>
        <v>#N/A</v>
      </c>
      <c r="O27" s="145" t="e">
        <f t="shared" si="4"/>
        <v>#N/A</v>
      </c>
      <c r="P27" s="145" t="e">
        <f t="shared" si="5"/>
        <v>#N/A</v>
      </c>
      <c r="Q27" s="63"/>
      <c r="R27" s="63"/>
    </row>
    <row r="28" spans="1:18" ht="20.149999999999999" customHeight="1" x14ac:dyDescent="0.45">
      <c r="A28" s="65"/>
      <c r="B28" s="242" t="s">
        <v>83</v>
      </c>
      <c r="C28" s="212" t="e">
        <f>VLOOKUP(B28,'Sales Master'!A$3:B$530,2,0)</f>
        <v>#N/A</v>
      </c>
      <c r="D28" s="461" t="e">
        <f>VLOOKUP(C28,'Sales Master'!B$3:D$530,2,)</f>
        <v>#N/A</v>
      </c>
      <c r="E28" s="461"/>
      <c r="F28" s="461"/>
      <c r="G28" s="76">
        <v>1</v>
      </c>
      <c r="H28" s="247" t="e">
        <f>VLOOKUP(C28,'Sales Master'!$B$3:$F$2413,5,0)</f>
        <v>#N/A</v>
      </c>
      <c r="I28" s="462" t="e">
        <f>VLOOKUP(C28,'Sales Master'!$B$3:$E$2413,4,0)</f>
        <v>#N/A</v>
      </c>
      <c r="J28" s="462"/>
      <c r="K28" s="83" t="e">
        <f>VLOOKUP(C28,'Sales Master'!B$3:I$530,8,0)</f>
        <v>#N/A</v>
      </c>
      <c r="L28" s="84" t="e">
        <f t="shared" si="3"/>
        <v>#N/A</v>
      </c>
      <c r="N28" s="145" t="e">
        <f>VLOOKUP(C28,'Sales Master'!$B$3:$DA$2272,104,0)</f>
        <v>#N/A</v>
      </c>
      <c r="O28" s="145" t="e">
        <f t="shared" si="4"/>
        <v>#N/A</v>
      </c>
      <c r="P28" s="145" t="e">
        <f t="shared" si="5"/>
        <v>#N/A</v>
      </c>
      <c r="Q28" s="63"/>
      <c r="R28" s="63"/>
    </row>
    <row r="29" spans="1:18" ht="20.149999999999999" customHeight="1" x14ac:dyDescent="0.45">
      <c r="A29" s="65"/>
      <c r="B29" s="242" t="s">
        <v>55</v>
      </c>
      <c r="C29" s="212" t="e">
        <f>VLOOKUP(B29,'Sales Master'!A$3:B$530,2,0)</f>
        <v>#N/A</v>
      </c>
      <c r="D29" s="461" t="e">
        <f>VLOOKUP(C29,'Sales Master'!B$3:D$530,2,)</f>
        <v>#N/A</v>
      </c>
      <c r="E29" s="461"/>
      <c r="F29" s="461"/>
      <c r="G29" s="76">
        <v>3</v>
      </c>
      <c r="H29" s="247" t="e">
        <f>VLOOKUP(C29,'Sales Master'!$B$3:$F$2413,5,0)</f>
        <v>#N/A</v>
      </c>
      <c r="I29" s="462" t="e">
        <f>VLOOKUP(C29,'Sales Master'!$B$3:$E$2413,4,0)</f>
        <v>#N/A</v>
      </c>
      <c r="J29" s="462"/>
      <c r="K29" s="83" t="e">
        <f>VLOOKUP(C29,'Sales Master'!B$3:I$530,8,0)</f>
        <v>#N/A</v>
      </c>
      <c r="L29" s="84" t="e">
        <f t="shared" ref="L29" si="6">K29*G29</f>
        <v>#N/A</v>
      </c>
      <c r="N29" s="145" t="e">
        <f>VLOOKUP(C29,'Sales Master'!$B$3:$DA$2272,104,0)</f>
        <v>#N/A</v>
      </c>
      <c r="O29" s="145" t="e">
        <f t="shared" ref="O29" si="7">K29-N29</f>
        <v>#N/A</v>
      </c>
      <c r="P29" s="145" t="e">
        <f t="shared" ref="P29" si="8">O29*G29</f>
        <v>#N/A</v>
      </c>
      <c r="Q29" s="63"/>
      <c r="R29" s="63"/>
    </row>
    <row r="30" spans="1:18" ht="20.149999999999999" customHeight="1" x14ac:dyDescent="0.45">
      <c r="A30" s="65"/>
      <c r="B30" s="242" t="s">
        <v>97</v>
      </c>
      <c r="C30" s="212" t="e">
        <f>VLOOKUP(B30,'Sales Master'!A$3:B$530,2,0)</f>
        <v>#N/A</v>
      </c>
      <c r="D30" s="461" t="e">
        <f>VLOOKUP(C30,'Sales Master'!B$3:D$530,2,)</f>
        <v>#N/A</v>
      </c>
      <c r="E30" s="461"/>
      <c r="F30" s="461"/>
      <c r="G30" s="76">
        <v>1</v>
      </c>
      <c r="H30" s="247" t="e">
        <f>VLOOKUP(C30,'Sales Master'!$B$3:$F$2413,5,0)</f>
        <v>#N/A</v>
      </c>
      <c r="I30" s="462" t="e">
        <f>VLOOKUP(C30,'Sales Master'!$B$3:$E$2413,4,0)</f>
        <v>#N/A</v>
      </c>
      <c r="J30" s="462"/>
      <c r="K30" s="83" t="e">
        <f>VLOOKUP(C30,'Sales Master'!B$3:I$530,8,0)</f>
        <v>#N/A</v>
      </c>
      <c r="L30" s="84" t="e">
        <f>K30*G30</f>
        <v>#N/A</v>
      </c>
      <c r="N30" s="145" t="e">
        <f>VLOOKUP(C30,'Sales Master'!$B$3:$DA$2272,104,0)</f>
        <v>#N/A</v>
      </c>
      <c r="O30" s="145" t="e">
        <f>K30-N30</f>
        <v>#N/A</v>
      </c>
      <c r="P30" s="145" t="e">
        <f>O30*G30</f>
        <v>#N/A</v>
      </c>
      <c r="Q30" s="63"/>
      <c r="R30" s="63"/>
    </row>
    <row r="31" spans="1:18" ht="20.149999999999999" customHeight="1" x14ac:dyDescent="0.45">
      <c r="A31" s="65"/>
      <c r="B31" s="242" t="s">
        <v>71</v>
      </c>
      <c r="C31" s="212" t="e">
        <f>VLOOKUP(B31,'Sales Master'!A$3:B$530,2,0)</f>
        <v>#N/A</v>
      </c>
      <c r="D31" s="461" t="e">
        <f>VLOOKUP(C31,'Sales Master'!B$3:D$530,2,)</f>
        <v>#N/A</v>
      </c>
      <c r="E31" s="461"/>
      <c r="F31" s="461"/>
      <c r="G31" s="76">
        <v>5</v>
      </c>
      <c r="H31" s="247" t="e">
        <f>VLOOKUP(C31,'Sales Master'!$B$3:$F$2413,5,0)</f>
        <v>#N/A</v>
      </c>
      <c r="I31" s="462" t="e">
        <f>VLOOKUP(C31,'Sales Master'!$B$3:$E$2413,4,0)</f>
        <v>#N/A</v>
      </c>
      <c r="J31" s="462"/>
      <c r="K31" s="83" t="e">
        <f>VLOOKUP(C31,'Sales Master'!B$3:I$530,8,0)</f>
        <v>#N/A</v>
      </c>
      <c r="L31" s="84" t="e">
        <f t="shared" ref="L31:L36" si="9">K31*G31</f>
        <v>#N/A</v>
      </c>
      <c r="N31" s="145" t="e">
        <f>VLOOKUP(C31,'Sales Master'!$B$3:$DA$2272,104,0)</f>
        <v>#N/A</v>
      </c>
      <c r="O31" s="145" t="e">
        <f t="shared" ref="O31:O36" si="10">K31-N31</f>
        <v>#N/A</v>
      </c>
      <c r="P31" s="145" t="e">
        <f t="shared" ref="P31:P36" si="11">O31*G31</f>
        <v>#N/A</v>
      </c>
      <c r="Q31" s="63"/>
      <c r="R31" s="63"/>
    </row>
    <row r="32" spans="1:18" ht="20.149999999999999" customHeight="1" x14ac:dyDescent="0.45">
      <c r="A32" s="65"/>
      <c r="B32" s="242" t="s">
        <v>105</v>
      </c>
      <c r="C32" s="212" t="e">
        <f>VLOOKUP(B32,'Sales Master'!A$3:B$530,2,0)</f>
        <v>#N/A</v>
      </c>
      <c r="D32" s="461" t="e">
        <f>VLOOKUP(C32,'Sales Master'!B$3:D$530,2,)</f>
        <v>#N/A</v>
      </c>
      <c r="E32" s="461"/>
      <c r="F32" s="461"/>
      <c r="G32" s="76">
        <v>1</v>
      </c>
      <c r="H32" s="247" t="e">
        <f>VLOOKUP(C32,'Sales Master'!$B$3:$F$2413,5,0)</f>
        <v>#N/A</v>
      </c>
      <c r="I32" s="462" t="e">
        <f>VLOOKUP(C32,'Sales Master'!$B$3:$E$2413,4,0)</f>
        <v>#N/A</v>
      </c>
      <c r="J32" s="462"/>
      <c r="K32" s="83" t="e">
        <f>VLOOKUP(C32,'Sales Master'!B$3:I$530,8,0)</f>
        <v>#N/A</v>
      </c>
      <c r="L32" s="84" t="e">
        <f>K32*G32</f>
        <v>#N/A</v>
      </c>
      <c r="N32" s="145" t="e">
        <f>VLOOKUP(C32,'Sales Master'!$B$3:$DA$2272,104,0)</f>
        <v>#N/A</v>
      </c>
      <c r="O32" s="145" t="e">
        <f>K32-N32</f>
        <v>#N/A</v>
      </c>
      <c r="P32" s="145" t="e">
        <f>O32*G32</f>
        <v>#N/A</v>
      </c>
      <c r="Q32" s="63"/>
      <c r="R32" s="63"/>
    </row>
    <row r="33" spans="1:18" ht="20.149999999999999" customHeight="1" x14ac:dyDescent="0.45">
      <c r="A33" s="65"/>
      <c r="B33" s="242" t="s">
        <v>88</v>
      </c>
      <c r="C33" s="212" t="e">
        <f>VLOOKUP(B33,'Sales Master'!A$3:B$530,2,0)</f>
        <v>#N/A</v>
      </c>
      <c r="D33" s="461" t="e">
        <f>VLOOKUP(C33,'Sales Master'!B$3:D$530,2,)</f>
        <v>#N/A</v>
      </c>
      <c r="E33" s="461"/>
      <c r="F33" s="461"/>
      <c r="G33" s="76">
        <v>2</v>
      </c>
      <c r="H33" s="247" t="e">
        <f>VLOOKUP(C33,'Sales Master'!$B$3:$F$2413,5,0)</f>
        <v>#N/A</v>
      </c>
      <c r="I33" s="462" t="e">
        <f>VLOOKUP(C33,'Sales Master'!$B$3:$E$2413,4,0)</f>
        <v>#N/A</v>
      </c>
      <c r="J33" s="462"/>
      <c r="K33" s="83" t="e">
        <f>VLOOKUP(C33,'Sales Master'!B$3:I$530,8,0)</f>
        <v>#N/A</v>
      </c>
      <c r="L33" s="84" t="e">
        <f>K33*G33</f>
        <v>#N/A</v>
      </c>
      <c r="N33" s="145" t="e">
        <f>VLOOKUP(C33,'Sales Master'!$B$3:$DA$2272,104,0)</f>
        <v>#N/A</v>
      </c>
      <c r="O33" s="145" t="e">
        <f>K33-N33</f>
        <v>#N/A</v>
      </c>
      <c r="P33" s="145" t="e">
        <f>O33*G33</f>
        <v>#N/A</v>
      </c>
      <c r="Q33" s="63"/>
      <c r="R33" s="63"/>
    </row>
    <row r="34" spans="1:18" ht="20.149999999999999" customHeight="1" x14ac:dyDescent="0.45">
      <c r="A34" s="65"/>
      <c r="B34" s="242" t="s">
        <v>65</v>
      </c>
      <c r="C34" s="212" t="e">
        <f>VLOOKUP(B34,'Sales Master'!A$3:B$530,2,0)</f>
        <v>#N/A</v>
      </c>
      <c r="D34" s="461" t="e">
        <f>VLOOKUP(C34,'Sales Master'!B$3:D$530,2,)</f>
        <v>#N/A</v>
      </c>
      <c r="E34" s="461"/>
      <c r="F34" s="461"/>
      <c r="G34" s="76">
        <v>1</v>
      </c>
      <c r="H34" s="247" t="e">
        <f>VLOOKUP(C34,'Sales Master'!$B$3:$F$2413,5,0)</f>
        <v>#N/A</v>
      </c>
      <c r="I34" s="462" t="e">
        <f>VLOOKUP(C34,'Sales Master'!$B$3:$E$2413,4,0)</f>
        <v>#N/A</v>
      </c>
      <c r="J34" s="462"/>
      <c r="K34" s="83" t="e">
        <f>VLOOKUP(C34,'Sales Master'!B$3:I$530,8,0)</f>
        <v>#N/A</v>
      </c>
      <c r="L34" s="84" t="e">
        <f t="shared" si="9"/>
        <v>#N/A</v>
      </c>
      <c r="N34" s="145" t="e">
        <f>VLOOKUP(C34,'Sales Master'!$B$3:$DA$2272,104,0)</f>
        <v>#N/A</v>
      </c>
      <c r="O34" s="145" t="e">
        <f t="shared" si="10"/>
        <v>#N/A</v>
      </c>
      <c r="P34" s="145" t="e">
        <f t="shared" si="11"/>
        <v>#N/A</v>
      </c>
      <c r="Q34" s="63"/>
      <c r="R34" s="63"/>
    </row>
    <row r="35" spans="1:18" ht="20.149999999999999" customHeight="1" x14ac:dyDescent="0.45">
      <c r="A35" s="65"/>
      <c r="B35" s="242" t="s">
        <v>69</v>
      </c>
      <c r="C35" s="212" t="e">
        <f>VLOOKUP(B35,'Sales Master'!A$3:B$530,2,0)</f>
        <v>#N/A</v>
      </c>
      <c r="D35" s="461" t="e">
        <f>VLOOKUP(C35,'Sales Master'!B$3:D$530,2,)</f>
        <v>#N/A</v>
      </c>
      <c r="E35" s="461"/>
      <c r="F35" s="461"/>
      <c r="G35" s="76">
        <v>3</v>
      </c>
      <c r="H35" s="247" t="e">
        <f>VLOOKUP(C35,'Sales Master'!$B$3:$F$2413,5,0)</f>
        <v>#N/A</v>
      </c>
      <c r="I35" s="462" t="e">
        <f>VLOOKUP(C35,'Sales Master'!$B$3:$E$2413,4,0)</f>
        <v>#N/A</v>
      </c>
      <c r="J35" s="462"/>
      <c r="K35" s="83" t="e">
        <f>VLOOKUP(C35,'Sales Master'!B$3:I$530,8,0)</f>
        <v>#N/A</v>
      </c>
      <c r="L35" s="84" t="e">
        <f>K35*G35</f>
        <v>#N/A</v>
      </c>
      <c r="N35" s="145" t="e">
        <f>VLOOKUP(C35,'Sales Master'!$B$3:$DA$2272,104,0)</f>
        <v>#N/A</v>
      </c>
      <c r="O35" s="145" t="e">
        <f>K35-N35</f>
        <v>#N/A</v>
      </c>
      <c r="P35" s="145" t="e">
        <f>O35*G35</f>
        <v>#N/A</v>
      </c>
      <c r="Q35" s="63"/>
      <c r="R35" s="63"/>
    </row>
    <row r="36" spans="1:18" ht="20.149999999999999" customHeight="1" x14ac:dyDescent="0.45">
      <c r="A36" s="65"/>
      <c r="B36" s="242" t="s">
        <v>1283</v>
      </c>
      <c r="C36" s="212" t="e">
        <f>VLOOKUP(B36,'Sales Master'!A$3:B$530,2,0)</f>
        <v>#N/A</v>
      </c>
      <c r="D36" s="461" t="e">
        <f>VLOOKUP(C36,'Sales Master'!B$3:D$530,2,)</f>
        <v>#N/A</v>
      </c>
      <c r="E36" s="461"/>
      <c r="F36" s="461"/>
      <c r="G36" s="76">
        <v>10</v>
      </c>
      <c r="H36" s="247" t="e">
        <f>VLOOKUP(C36,'Sales Master'!$B$3:$F$2413,5,0)</f>
        <v>#N/A</v>
      </c>
      <c r="I36" s="462" t="e">
        <f>VLOOKUP(C36,'Sales Master'!$B$3:$E$2413,4,0)</f>
        <v>#N/A</v>
      </c>
      <c r="J36" s="462"/>
      <c r="K36" s="83" t="e">
        <f>VLOOKUP(C36,'Sales Master'!B$3:I$530,8,0)</f>
        <v>#N/A</v>
      </c>
      <c r="L36" s="84" t="e">
        <f t="shared" si="9"/>
        <v>#N/A</v>
      </c>
      <c r="N36" s="145" t="e">
        <f>VLOOKUP(C36,'Sales Master'!$B$3:$DA$2272,104,0)</f>
        <v>#N/A</v>
      </c>
      <c r="O36" s="145" t="e">
        <f t="shared" si="10"/>
        <v>#N/A</v>
      </c>
      <c r="P36" s="145" t="e">
        <f t="shared" si="11"/>
        <v>#N/A</v>
      </c>
      <c r="Q36" s="63"/>
      <c r="R36" s="63"/>
    </row>
    <row r="37" spans="1:18" ht="20.149999999999999" customHeight="1" x14ac:dyDescent="0.45">
      <c r="A37" s="65"/>
      <c r="B37" s="242"/>
      <c r="C37" s="212"/>
      <c r="D37" s="461"/>
      <c r="E37" s="461"/>
      <c r="F37" s="461"/>
      <c r="G37" s="76"/>
      <c r="H37" s="247"/>
      <c r="I37" s="209"/>
      <c r="J37" s="209"/>
      <c r="K37" s="83"/>
      <c r="L37" s="84"/>
      <c r="N37" s="145"/>
      <c r="O37" s="145"/>
      <c r="P37" s="145"/>
      <c r="Q37" s="63"/>
      <c r="R37" s="63"/>
    </row>
    <row r="38" spans="1:18" ht="20.149999999999999" customHeight="1" x14ac:dyDescent="0.45">
      <c r="A38" s="65"/>
      <c r="B38" s="139"/>
      <c r="C38" s="129"/>
      <c r="D38" s="140"/>
      <c r="E38" s="140"/>
      <c r="F38" s="140"/>
      <c r="G38" s="129"/>
      <c r="H38" s="138"/>
      <c r="I38" s="514"/>
      <c r="J38" s="514"/>
      <c r="K38" s="95"/>
      <c r="L38" s="98"/>
      <c r="M38" s="63"/>
      <c r="N38" s="63"/>
      <c r="Q38" s="63"/>
    </row>
    <row r="39" spans="1:18" ht="20.149999999999999" customHeight="1" thickBot="1" x14ac:dyDescent="0.5">
      <c r="A39" s="65"/>
      <c r="B39" s="141"/>
      <c r="C39" s="76"/>
      <c r="D39" s="65"/>
      <c r="E39" s="65"/>
      <c r="F39" s="65"/>
      <c r="G39" s="76"/>
      <c r="H39" s="82"/>
      <c r="I39" s="76"/>
      <c r="J39" s="76"/>
      <c r="K39" s="83"/>
      <c r="L39" s="84"/>
    </row>
    <row r="40" spans="1:18" ht="20.149999999999999" customHeight="1" x14ac:dyDescent="0.45">
      <c r="A40" s="65"/>
      <c r="B40" s="142" t="s">
        <v>16</v>
      </c>
      <c r="C40" s="135"/>
      <c r="D40" s="135"/>
      <c r="E40" s="135"/>
      <c r="F40" s="135"/>
      <c r="G40" s="135"/>
      <c r="H40" s="135"/>
      <c r="I40" s="135"/>
      <c r="J40" s="512" t="s">
        <v>13</v>
      </c>
      <c r="K40" s="513"/>
      <c r="L40" s="143" t="e">
        <f>SUM(L18:L39)</f>
        <v>#N/A</v>
      </c>
      <c r="M40" s="63" t="e">
        <f>SUM(P18:P39)</f>
        <v>#N/A</v>
      </c>
      <c r="N40" s="133" t="e">
        <f>M40/L40</f>
        <v>#N/A</v>
      </c>
      <c r="Q40" s="133"/>
    </row>
    <row r="41" spans="1:18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  <c r="M41" s="63"/>
    </row>
    <row r="42" spans="1:18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 t="e">
        <f>L40-L41</f>
        <v>#N/A</v>
      </c>
    </row>
    <row r="43" spans="1:18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 t="e">
        <f>L42*K43</f>
        <v>#N/A</v>
      </c>
    </row>
    <row r="44" spans="1:18" ht="20.149999999999999" customHeight="1" thickBot="1" x14ac:dyDescent="0.5">
      <c r="B44" s="10" t="s">
        <v>700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 t="e">
        <f>L42+L43</f>
        <v>#N/A</v>
      </c>
    </row>
    <row r="45" spans="1:18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1:18" ht="18" customHeight="1" x14ac:dyDescent="0.45">
      <c r="B46" s="144" t="s">
        <v>690</v>
      </c>
      <c r="L46" s="37"/>
    </row>
    <row r="47" spans="1:18" ht="18" customHeight="1" x14ac:dyDescent="0.45">
      <c r="B47" s="36"/>
      <c r="L47" s="37"/>
      <c r="N47" s="176">
        <v>44641</v>
      </c>
      <c r="O47" s="19">
        <v>287.5</v>
      </c>
      <c r="P47" s="19">
        <v>54.36</v>
      </c>
      <c r="Q47" s="133">
        <f>P47/O47</f>
        <v>0.18907826086956522</v>
      </c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36"/>
      <c r="L50" s="37"/>
      <c r="N50" s="176"/>
      <c r="Q50" s="133"/>
    </row>
    <row r="51" spans="2:17" ht="18" customHeight="1" x14ac:dyDescent="0.45">
      <c r="B51" s="44"/>
      <c r="C51" s="45"/>
      <c r="D51" s="45"/>
      <c r="J51" s="45"/>
      <c r="K51" s="45"/>
      <c r="L51" s="46"/>
    </row>
    <row r="52" spans="2:17" ht="20.149999999999999" customHeight="1" x14ac:dyDescent="0.45">
      <c r="B52" s="36" t="s">
        <v>25</v>
      </c>
      <c r="J52" s="19" t="s">
        <v>26</v>
      </c>
      <c r="L52" s="37"/>
    </row>
    <row r="53" spans="2:17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7" ht="20.5" x14ac:dyDescent="0.45">
      <c r="F54" s="201"/>
    </row>
  </sheetData>
  <mergeCells count="58">
    <mergeCell ref="D37:F37"/>
    <mergeCell ref="I31:J31"/>
    <mergeCell ref="I25:J25"/>
    <mergeCell ref="I23:J23"/>
    <mergeCell ref="I34:J34"/>
    <mergeCell ref="I24:J24"/>
    <mergeCell ref="D23:F23"/>
    <mergeCell ref="D34:F34"/>
    <mergeCell ref="D24:F24"/>
    <mergeCell ref="I30:J30"/>
    <mergeCell ref="D21:F21"/>
    <mergeCell ref="D36:F36"/>
    <mergeCell ref="D35:F35"/>
    <mergeCell ref="D30:F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29:F29"/>
    <mergeCell ref="I29:J29"/>
    <mergeCell ref="D17:F17"/>
    <mergeCell ref="D19:F19"/>
    <mergeCell ref="I19:J19"/>
    <mergeCell ref="D22:F22"/>
    <mergeCell ref="I22:J22"/>
    <mergeCell ref="D27:F27"/>
    <mergeCell ref="I27:J27"/>
    <mergeCell ref="D18:F18"/>
    <mergeCell ref="I18:J18"/>
    <mergeCell ref="D25:F25"/>
    <mergeCell ref="I21:J21"/>
    <mergeCell ref="J44:K44"/>
    <mergeCell ref="D26:F26"/>
    <mergeCell ref="I26:J26"/>
    <mergeCell ref="D28:F28"/>
    <mergeCell ref="I28:J28"/>
    <mergeCell ref="D32:F32"/>
    <mergeCell ref="I32:J32"/>
    <mergeCell ref="I38:J38"/>
    <mergeCell ref="J40:K40"/>
    <mergeCell ref="J42:K42"/>
    <mergeCell ref="D33:F33"/>
    <mergeCell ref="I33:J33"/>
    <mergeCell ref="D31:F31"/>
    <mergeCell ref="I36:J36"/>
    <mergeCell ref="I35:J35"/>
  </mergeCells>
  <hyperlinks>
    <hyperlink ref="B15" r:id="rId1" xr:uid="{1A10CDA7-66E4-48A6-B2F8-76BE493B2204}"/>
  </hyperlinks>
  <pageMargins left="0.74803149606299213" right="0" top="0" bottom="0" header="0" footer="0"/>
  <pageSetup paperSize="9" scale="73" orientation="portrait" horizontalDpi="300" verticalDpi="300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56"/>
  <sheetViews>
    <sheetView zoomScaleNormal="100" workbookViewId="0">
      <selection activeCell="B1" sqref="B1:L5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1091</v>
      </c>
      <c r="J10" s="24" t="s">
        <v>27</v>
      </c>
      <c r="K10" s="493">
        <v>202412642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Rong Hua Desserts                                        Blk 10, Ubi Crescent #01-04.                         Ubi Tech Park Singapore 408564</v>
      </c>
      <c r="G11" s="481"/>
      <c r="H11" s="482"/>
      <c r="J11" s="26" t="s">
        <v>9</v>
      </c>
      <c r="K11" s="495">
        <v>45656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711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58"/>
      <c r="C18" s="244" t="s">
        <v>737</v>
      </c>
      <c r="D18" s="445" t="str">
        <f>VLOOKUP(C18,'Sales Master'!B$3:D$530,2,)</f>
        <v>Chendol 浆咯</v>
      </c>
      <c r="E18" s="445"/>
      <c r="F18" s="445"/>
      <c r="G18" s="76">
        <v>1</v>
      </c>
      <c r="H18" s="186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83">
        <f>VLOOKUP(C18,'Sales Master'!$B$3:$BZ$2311,77,0)</f>
        <v>7</v>
      </c>
      <c r="L18" s="84">
        <f>K18*G18</f>
        <v>7</v>
      </c>
      <c r="M18" s="65"/>
      <c r="N18" s="145">
        <f>VLOOKUP(C18,'Sales Master'!$B$3:$DA$2272,104,0)</f>
        <v>2.44</v>
      </c>
      <c r="O18" s="145">
        <f>K18-N18</f>
        <v>4.5600000000000005</v>
      </c>
      <c r="P18" s="145">
        <f>O18*G18</f>
        <v>4.5600000000000005</v>
      </c>
    </row>
    <row r="19" spans="2:16" ht="20.149999999999999" customHeight="1" x14ac:dyDescent="0.45">
      <c r="B19" s="58"/>
      <c r="C19" s="244" t="s">
        <v>727</v>
      </c>
      <c r="D19" s="445" t="str">
        <f>VLOOKUP(C19,'Sales Master'!B$3:D$530,2,)</f>
        <v>Mango Puree 芒果酱</v>
      </c>
      <c r="E19" s="445"/>
      <c r="F19" s="445"/>
      <c r="G19" s="76">
        <v>2</v>
      </c>
      <c r="H19" s="186" t="str">
        <f>VLOOKUP(C19,'Sales Master'!$B$3:$F$2413,5,0)</f>
        <v>1 KG/ Box盒</v>
      </c>
      <c r="I19" s="497" t="str">
        <f>VLOOKUP(C19,'Sales Master'!$B$3:$E$2413,4,0)</f>
        <v>DO!</v>
      </c>
      <c r="J19" s="497"/>
      <c r="K19" s="83">
        <f>VLOOKUP(C19,'Sales Master'!$B$3:$BZ$2311,77,0)</f>
        <v>8</v>
      </c>
      <c r="L19" s="84">
        <f>K19*G19</f>
        <v>16</v>
      </c>
      <c r="M19" s="65"/>
      <c r="N19" s="145">
        <f>VLOOKUP(C19,'Sales Master'!$B$3:$DA$2272,104,0)</f>
        <v>2.15</v>
      </c>
      <c r="O19" s="145">
        <f>K19-N19</f>
        <v>5.85</v>
      </c>
      <c r="P19" s="145">
        <f>O19*G19</f>
        <v>11.7</v>
      </c>
    </row>
    <row r="20" spans="2:16" ht="20.149999999999999" customHeight="1" x14ac:dyDescent="0.45">
      <c r="B20" s="58"/>
      <c r="C20" s="244" t="s">
        <v>736</v>
      </c>
      <c r="D20" s="445" t="str">
        <f>VLOOKUP(C20,'Sales Master'!B$3:D$530,2,)</f>
        <v>Bobo ChaCha Cubes 摩摩喳喳</v>
      </c>
      <c r="E20" s="445"/>
      <c r="F20" s="445"/>
      <c r="G20" s="76">
        <v>1</v>
      </c>
      <c r="H20" s="186" t="str">
        <f>VLOOKUP(C20,'Sales Master'!$B$3:$F$2413,5,0)</f>
        <v>800 GM/ Bag包</v>
      </c>
      <c r="I20" s="497" t="str">
        <f>VLOOKUP(C20,'Sales Master'!$B$3:$E$2413,4,0)</f>
        <v>DO!</v>
      </c>
      <c r="J20" s="497"/>
      <c r="K20" s="83">
        <f>VLOOKUP(C20,'Sales Master'!$B$3:$BZ$2311,77,0)</f>
        <v>7</v>
      </c>
      <c r="L20" s="84">
        <f t="shared" ref="L20:L27" si="0">K20*G20</f>
        <v>7</v>
      </c>
      <c r="M20" s="65"/>
      <c r="N20" s="145">
        <f>VLOOKUP(C20,'Sales Master'!$B$3:$DA$2272,104,0)</f>
        <v>0.89</v>
      </c>
      <c r="O20" s="145">
        <f t="shared" ref="O20:O27" si="1">K20-N20</f>
        <v>6.11</v>
      </c>
      <c r="P20" s="145">
        <f t="shared" ref="P20:P27" si="2">O20*G20</f>
        <v>6.11</v>
      </c>
    </row>
    <row r="21" spans="2:16" ht="20.149999999999999" customHeight="1" x14ac:dyDescent="0.45">
      <c r="B21" s="58"/>
      <c r="C21" s="244" t="s">
        <v>2201</v>
      </c>
      <c r="D21" s="549" t="str">
        <f>VLOOKUP(C21,'Sales Master'!B$3:D$530,2,)</f>
        <v>Coconut Sugar Syrup 椰糖浆</v>
      </c>
      <c r="E21" s="549"/>
      <c r="F21" s="549"/>
      <c r="G21" s="76">
        <v>1</v>
      </c>
      <c r="H21" s="186" t="str">
        <f>VLOOKUP(C21,'Sales Master'!$B$3:$F$2413,5,0)</f>
        <v>GW: 5 KG/ Btl支</v>
      </c>
      <c r="I21" s="497" t="str">
        <f>VLOOKUP(C21,'Sales Master'!$B$3:$E$2413,4,0)</f>
        <v>DO!</v>
      </c>
      <c r="J21" s="497"/>
      <c r="K21" s="83">
        <f>VLOOKUP(C21,'Sales Master'!$B$3:$BZ$2311,77,0)</f>
        <v>20</v>
      </c>
      <c r="L21" s="84">
        <f t="shared" si="0"/>
        <v>20</v>
      </c>
      <c r="M21" s="65"/>
      <c r="N21" s="145">
        <f>VLOOKUP(C21,'Sales Master'!$B$3:$DA$2272,104,0)</f>
        <v>8.89</v>
      </c>
      <c r="O21" s="145">
        <f t="shared" si="1"/>
        <v>11.11</v>
      </c>
      <c r="P21" s="145">
        <f t="shared" si="2"/>
        <v>11.11</v>
      </c>
    </row>
    <row r="22" spans="2:16" ht="20.149999999999999" customHeight="1" x14ac:dyDescent="0.45">
      <c r="B22" s="58"/>
      <c r="C22" s="244" t="s">
        <v>773</v>
      </c>
      <c r="D22" s="445" t="str">
        <f>VLOOKUP(C22,'Sales Master'!B$3:D$530,2,)</f>
        <v>Agar Powder 菜燕粉</v>
      </c>
      <c r="E22" s="445"/>
      <c r="F22" s="445"/>
      <c r="G22" s="76">
        <v>1</v>
      </c>
      <c r="H22" s="186" t="str">
        <f>VLOOKUP(C22,'Sales Master'!$B$3:$F$2413,5,0)</f>
        <v>43 gms x 10PKT/Bag</v>
      </c>
      <c r="I22" s="497" t="str">
        <f>VLOOKUP(C22,'Sales Master'!$B$3:$E$2413,4,0)</f>
        <v>No 1</v>
      </c>
      <c r="J22" s="497"/>
      <c r="K22" s="83">
        <f>VLOOKUP(C22,'Sales Master'!$B$3:$BZ$2311,77,0)</f>
        <v>32</v>
      </c>
      <c r="L22" s="84">
        <f t="shared" si="0"/>
        <v>32</v>
      </c>
      <c r="M22" s="65"/>
      <c r="N22" s="145">
        <f>VLOOKUP(C22,'Sales Master'!$B$3:$DA$2272,104,0)</f>
        <v>15.05</v>
      </c>
      <c r="O22" s="145">
        <f t="shared" si="1"/>
        <v>16.95</v>
      </c>
      <c r="P22" s="145">
        <f t="shared" si="2"/>
        <v>16.95</v>
      </c>
    </row>
    <row r="23" spans="2:16" ht="20.149999999999999" customHeight="1" x14ac:dyDescent="0.45">
      <c r="B23" s="58"/>
      <c r="C23" s="244" t="s">
        <v>810</v>
      </c>
      <c r="D23" s="445" t="str">
        <f>VLOOKUP(C23,'Sales Master'!B$3:D$530,2,)</f>
        <v>Tapioca Flour 茨粉</v>
      </c>
      <c r="E23" s="445"/>
      <c r="F23" s="445"/>
      <c r="G23" s="76">
        <v>5</v>
      </c>
      <c r="H23" s="186" t="str">
        <f>VLOOKUP(C23,'Sales Master'!$B$3:$F$2413,5,0)</f>
        <v xml:space="preserve">500 GM/pkt </v>
      </c>
      <c r="I23" s="497" t="str">
        <f>VLOOKUP(C23,'Sales Master'!$B$3:$E$2413,4,0)</f>
        <v>F/man 飞人</v>
      </c>
      <c r="J23" s="497"/>
      <c r="K23" s="83">
        <f>VLOOKUP(C23,'Sales Master'!$B$3:$BZ$2311,77,0)</f>
        <v>0.8</v>
      </c>
      <c r="L23" s="84">
        <f>K23*G23</f>
        <v>4</v>
      </c>
      <c r="M23" s="65"/>
      <c r="N23" s="145">
        <f>VLOOKUP(C23,'Sales Master'!$B$3:$DA$2272,104,0)</f>
        <v>0.62</v>
      </c>
      <c r="O23" s="145">
        <f>K23-N23</f>
        <v>0.18000000000000005</v>
      </c>
      <c r="P23" s="145">
        <f>O23*G23</f>
        <v>0.90000000000000024</v>
      </c>
    </row>
    <row r="24" spans="2:16" ht="20.149999999999999" customHeight="1" x14ac:dyDescent="0.45">
      <c r="B24" s="58"/>
      <c r="C24" s="244" t="s">
        <v>828</v>
      </c>
      <c r="D24" s="445" t="str">
        <f>VLOOKUP(C24,'Sales Master'!B$3:D$530,2,)</f>
        <v>Atap Seeds in Syrup 亚嗒子</v>
      </c>
      <c r="E24" s="445"/>
      <c r="F24" s="445"/>
      <c r="G24" s="76">
        <v>1</v>
      </c>
      <c r="H24" s="186" t="str">
        <f>VLOOKUP(C24,'Sales Master'!$B$3:$F$2413,5,0)</f>
        <v>NW(2.1:0.9) 3kg/ Bag包</v>
      </c>
      <c r="I24" s="497" t="str">
        <f>VLOOKUP(C24,'Sales Master'!$B$3:$E$2413,4,0)</f>
        <v>DO!</v>
      </c>
      <c r="J24" s="497"/>
      <c r="K24" s="83">
        <f>VLOOKUP(C24,'Sales Master'!$B$3:$BZ$2311,77,0)</f>
        <v>13.5</v>
      </c>
      <c r="L24" s="84">
        <f>K24*G24</f>
        <v>13.5</v>
      </c>
      <c r="M24" s="65"/>
      <c r="N24" s="145">
        <f>VLOOKUP(C24,'Sales Master'!$B$3:$DA$2272,104,0)</f>
        <v>9.6</v>
      </c>
      <c r="O24" s="145">
        <f>K24-N24</f>
        <v>3.9000000000000004</v>
      </c>
      <c r="P24" s="145">
        <f>O24*G24</f>
        <v>3.9000000000000004</v>
      </c>
    </row>
    <row r="25" spans="2:16" ht="20.149999999999999" customHeight="1" x14ac:dyDescent="0.45">
      <c r="B25" s="58"/>
      <c r="C25" s="244" t="s">
        <v>836</v>
      </c>
      <c r="D25" s="445" t="str">
        <f>VLOOKUP(C25,'Sales Master'!B$3:D$530,2,)</f>
        <v>Red Bean 红豆 (5.5 mm)</v>
      </c>
      <c r="E25" s="445"/>
      <c r="F25" s="445"/>
      <c r="G25" s="76">
        <v>2</v>
      </c>
      <c r="H25" s="186" t="str">
        <f>VLOOKUP(C25,'Sales Master'!$B$3:$F$2413,5,0)</f>
        <v>5 KG</v>
      </c>
      <c r="I25" s="497" t="str">
        <f>VLOOKUP(C25,'Sales Master'!$B$3:$E$2413,4,0)</f>
        <v>-</v>
      </c>
      <c r="J25" s="497"/>
      <c r="K25" s="83">
        <f>VLOOKUP(C25,'Sales Master'!$B$3:$BZ$2311,77,0)</f>
        <v>19</v>
      </c>
      <c r="L25" s="84">
        <f t="shared" si="0"/>
        <v>38</v>
      </c>
      <c r="M25" s="65"/>
      <c r="N25" s="145">
        <f>VLOOKUP(C25,'Sales Master'!$B$3:$DA$2272,104,0)</f>
        <v>12.5</v>
      </c>
      <c r="O25" s="145">
        <f t="shared" si="1"/>
        <v>6.5</v>
      </c>
      <c r="P25" s="145">
        <f t="shared" si="2"/>
        <v>13</v>
      </c>
    </row>
    <row r="26" spans="2:16" ht="20.149999999999999" customHeight="1" x14ac:dyDescent="0.45">
      <c r="B26" s="58"/>
      <c r="C26" s="244" t="s">
        <v>849</v>
      </c>
      <c r="D26" s="445" t="str">
        <f>VLOOKUP(C26,'Sales Master'!B$3:D$530,2,)</f>
        <v>Green Bean 绿豆</v>
      </c>
      <c r="E26" s="445"/>
      <c r="F26" s="445"/>
      <c r="G26" s="76">
        <v>1</v>
      </c>
      <c r="H26" s="186" t="str">
        <f>VLOOKUP(C26,'Sales Master'!$B$3:$F$2413,5,0)</f>
        <v>5 KG</v>
      </c>
      <c r="I26" s="497" t="str">
        <f>VLOOKUP(C26,'Sales Master'!$B$3:$E$2413,4,0)</f>
        <v>-</v>
      </c>
      <c r="J26" s="497"/>
      <c r="K26" s="83">
        <f>VLOOKUP(C26,'Sales Master'!$B$3:$BZ$2311,77,0)</f>
        <v>14</v>
      </c>
      <c r="L26" s="84">
        <f t="shared" si="0"/>
        <v>14</v>
      </c>
      <c r="M26" s="65"/>
      <c r="N26" s="145">
        <f>VLOOKUP(C26,'Sales Master'!$B$3:$DA$2272,104,0)</f>
        <v>8.75</v>
      </c>
      <c r="O26" s="145">
        <f t="shared" si="1"/>
        <v>5.25</v>
      </c>
      <c r="P26" s="145">
        <f t="shared" si="2"/>
        <v>5.25</v>
      </c>
    </row>
    <row r="27" spans="2:16" ht="20.149999999999999" customHeight="1" x14ac:dyDescent="0.45">
      <c r="B27" s="58"/>
      <c r="C27" s="244" t="s">
        <v>855</v>
      </c>
      <c r="D27" s="445" t="str">
        <f>VLOOKUP(C27,'Sales Master'!B$3:D$530,2,)</f>
        <v>Split Green Mung Bean 豆爽</v>
      </c>
      <c r="E27" s="445"/>
      <c r="F27" s="445"/>
      <c r="G27" s="76">
        <v>1</v>
      </c>
      <c r="H27" s="186" t="str">
        <f>VLOOKUP(C27,'Sales Master'!$B$3:$F$2413,5,0)</f>
        <v>5 KG</v>
      </c>
      <c r="I27" s="497" t="str">
        <f>VLOOKUP(C27,'Sales Master'!$B$3:$E$2413,4,0)</f>
        <v>-</v>
      </c>
      <c r="J27" s="497"/>
      <c r="K27" s="83">
        <f>VLOOKUP(C27,'Sales Master'!$B$3:$BZ$2311,77,0)</f>
        <v>18</v>
      </c>
      <c r="L27" s="84">
        <f t="shared" si="0"/>
        <v>18</v>
      </c>
      <c r="M27" s="65"/>
      <c r="N27" s="145">
        <f>VLOOKUP(C27,'Sales Master'!$B$3:$DA$2272,104,0)</f>
        <v>12.833333333333334</v>
      </c>
      <c r="O27" s="145">
        <f t="shared" si="1"/>
        <v>5.1666666666666661</v>
      </c>
      <c r="P27" s="145">
        <f t="shared" si="2"/>
        <v>5.1666666666666661</v>
      </c>
    </row>
    <row r="28" spans="2:16" ht="20.149999999999999" customHeight="1" x14ac:dyDescent="0.45">
      <c r="B28" s="58"/>
      <c r="C28" s="244" t="s">
        <v>861</v>
      </c>
      <c r="D28" s="445" t="str">
        <f>VLOOKUP(C28,'Sales Master'!B$3:D$530,2,)</f>
        <v>Black Glutinous Rice 黑糯米</v>
      </c>
      <c r="E28" s="445"/>
      <c r="F28" s="445"/>
      <c r="G28" s="76">
        <v>1</v>
      </c>
      <c r="H28" s="186" t="str">
        <f>VLOOKUP(C28,'Sales Master'!$B$3:$F$2413,5,0)</f>
        <v>5 KGS</v>
      </c>
      <c r="I28" s="497" t="str">
        <f>VLOOKUP(C28,'Sales Master'!$B$3:$E$2413,4,0)</f>
        <v>-</v>
      </c>
      <c r="J28" s="497"/>
      <c r="K28" s="83">
        <f>VLOOKUP(C28,'Sales Master'!$B$3:$BZ$2311,77,0)</f>
        <v>18</v>
      </c>
      <c r="L28" s="84">
        <f t="shared" ref="L28:L35" si="3">K28*G28</f>
        <v>18</v>
      </c>
      <c r="M28" s="65"/>
      <c r="N28" s="145">
        <f>VLOOKUP(C28,'Sales Master'!$B$3:$DA$2272,104,0)</f>
        <v>12</v>
      </c>
      <c r="O28" s="145">
        <f t="shared" ref="O28:O35" si="4">K28-N28</f>
        <v>6</v>
      </c>
      <c r="P28" s="145">
        <f t="shared" ref="P28:P35" si="5">O28*G28</f>
        <v>6</v>
      </c>
    </row>
    <row r="29" spans="2:16" ht="20.149999999999999" customHeight="1" x14ac:dyDescent="0.45">
      <c r="B29" s="58"/>
      <c r="C29" s="244" t="s">
        <v>873</v>
      </c>
      <c r="D29" s="445" t="str">
        <f>VLOOKUP(C29,'Sales Master'!B$3:D$530,2,)</f>
        <v>Big Sago 大丸</v>
      </c>
      <c r="E29" s="445"/>
      <c r="F29" s="445"/>
      <c r="G29" s="76">
        <v>1</v>
      </c>
      <c r="H29" s="186" t="str">
        <f>VLOOKUP(C29,'Sales Master'!$B$3:$F$2413,5,0)</f>
        <v>5 KG</v>
      </c>
      <c r="I29" s="497" t="str">
        <f>VLOOKUP(C29,'Sales Master'!$B$3:$E$2413,4,0)</f>
        <v>-</v>
      </c>
      <c r="J29" s="497"/>
      <c r="K29" s="83">
        <f>VLOOKUP(C29,'Sales Master'!$B$3:$BZ$2311,77,0)</f>
        <v>11</v>
      </c>
      <c r="L29" s="84">
        <f t="shared" si="3"/>
        <v>11</v>
      </c>
      <c r="M29" s="65"/>
      <c r="N29" s="145">
        <f>VLOOKUP(C29,'Sales Master'!$B$3:$DA$2272,104,0)</f>
        <v>8.5</v>
      </c>
      <c r="O29" s="145">
        <f t="shared" si="4"/>
        <v>2.5</v>
      </c>
      <c r="P29" s="145">
        <f t="shared" si="5"/>
        <v>2.5</v>
      </c>
    </row>
    <row r="30" spans="2:16" ht="20.149999999999999" customHeight="1" x14ac:dyDescent="0.45">
      <c r="B30" s="58"/>
      <c r="C30" s="244" t="s">
        <v>877</v>
      </c>
      <c r="D30" s="445" t="str">
        <f>VLOOKUP(C30,'Sales Master'!B$3:D$530,2,)</f>
        <v>Small Sago 小丸</v>
      </c>
      <c r="E30" s="445"/>
      <c r="F30" s="445"/>
      <c r="G30" s="76">
        <v>2</v>
      </c>
      <c r="H30" s="186" t="str">
        <f>VLOOKUP(C30,'Sales Master'!$B$3:$F$2413,5,0)</f>
        <v>5 KG</v>
      </c>
      <c r="I30" s="497" t="str">
        <f>VLOOKUP(C30,'Sales Master'!$B$3:$E$2413,4,0)</f>
        <v>-</v>
      </c>
      <c r="J30" s="497"/>
      <c r="K30" s="83">
        <f>VLOOKUP(C30,'Sales Master'!$B$3:$BZ$2311,77,0)</f>
        <v>11</v>
      </c>
      <c r="L30" s="84">
        <f t="shared" si="3"/>
        <v>22</v>
      </c>
      <c r="M30" s="65"/>
      <c r="N30" s="145">
        <f>VLOOKUP(C30,'Sales Master'!$B$3:$DA$2272,104,0)</f>
        <v>0.70833333333333326</v>
      </c>
      <c r="O30" s="145">
        <f t="shared" si="4"/>
        <v>10.291666666666666</v>
      </c>
      <c r="P30" s="145">
        <f t="shared" si="5"/>
        <v>20.583333333333332</v>
      </c>
    </row>
    <row r="31" spans="2:16" ht="20.149999999999999" customHeight="1" x14ac:dyDescent="0.45">
      <c r="B31" s="58"/>
      <c r="C31" s="244" t="s">
        <v>883</v>
      </c>
      <c r="D31" s="445" t="str">
        <f>VLOOKUP(C31,'Sales Master'!B$3:D$530,2,)</f>
        <v>Dried Longan 龙眼干</v>
      </c>
      <c r="E31" s="445"/>
      <c r="F31" s="445"/>
      <c r="G31" s="76">
        <v>2</v>
      </c>
      <c r="H31" s="186" t="str">
        <f>VLOOKUP(C31,'Sales Master'!$B$3:$F$2413,5,0)</f>
        <v>1 kg</v>
      </c>
      <c r="I31" s="497" t="str">
        <f>VLOOKUP(C31,'Sales Master'!$B$3:$E$2413,4,0)</f>
        <v>中</v>
      </c>
      <c r="J31" s="497"/>
      <c r="K31" s="83">
        <f>VLOOKUP(C31,'Sales Master'!$B$3:$BZ$2311,77,0)</f>
        <v>13.5</v>
      </c>
      <c r="L31" s="84">
        <f t="shared" si="3"/>
        <v>27</v>
      </c>
      <c r="M31" s="65"/>
      <c r="N31" s="145">
        <f>VLOOKUP(C31,'Sales Master'!$B$3:$DA$2272,104,0)</f>
        <v>9.6999999999999993</v>
      </c>
      <c r="O31" s="145">
        <f t="shared" si="4"/>
        <v>3.8000000000000007</v>
      </c>
      <c r="P31" s="145">
        <f t="shared" si="5"/>
        <v>7.6000000000000014</v>
      </c>
    </row>
    <row r="32" spans="2:16" ht="20.149999999999999" customHeight="1" x14ac:dyDescent="0.45">
      <c r="B32" s="58"/>
      <c r="C32" s="244" t="s">
        <v>886</v>
      </c>
      <c r="D32" s="445" t="str">
        <f>VLOOKUP(C32,'Sales Master'!B$3:D$530,2,)</f>
        <v>Fungus黄 木耳朵</v>
      </c>
      <c r="E32" s="445"/>
      <c r="F32" s="445"/>
      <c r="G32" s="76">
        <v>1</v>
      </c>
      <c r="H32" s="186" t="str">
        <f>VLOOKUP(C32,'Sales Master'!$B$3:$F$2413,5,0)</f>
        <v>1 kg</v>
      </c>
      <c r="I32" s="497" t="str">
        <f>VLOOKUP(C32,'Sales Master'!$B$3:$E$2413,4,0)</f>
        <v>黄</v>
      </c>
      <c r="J32" s="497"/>
      <c r="K32" s="83">
        <f>VLOOKUP(C32,'Sales Master'!$B$3:$BZ$2311,77,0)</f>
        <v>17</v>
      </c>
      <c r="L32" s="84">
        <f t="shared" si="3"/>
        <v>17</v>
      </c>
      <c r="M32" s="65"/>
      <c r="N32" s="145">
        <f>VLOOKUP(C32,'Sales Master'!$B$3:$DA$2272,104,0)</f>
        <v>11</v>
      </c>
      <c r="O32" s="145">
        <f t="shared" si="4"/>
        <v>6</v>
      </c>
      <c r="P32" s="145">
        <f t="shared" si="5"/>
        <v>6</v>
      </c>
    </row>
    <row r="33" spans="2:16" ht="20.149999999999999" customHeight="1" x14ac:dyDescent="0.45">
      <c r="B33" s="58"/>
      <c r="C33" s="244" t="s">
        <v>894</v>
      </c>
      <c r="D33" s="445" t="str">
        <f>VLOOKUP(C33,'Sales Master'!B$3:D$530,2,)</f>
        <v>Pong Thai Hai (Dry) 碰大海(干)</v>
      </c>
      <c r="E33" s="445"/>
      <c r="F33" s="445"/>
      <c r="G33" s="76">
        <v>1</v>
      </c>
      <c r="H33" s="186" t="str">
        <f>VLOOKUP(C33,'Sales Master'!$B$3:$F$2413,5,0)</f>
        <v>1 kg</v>
      </c>
      <c r="I33" s="497" t="str">
        <f>VLOOKUP(C33,'Sales Master'!$B$3:$E$2413,4,0)</f>
        <v>-</v>
      </c>
      <c r="J33" s="497"/>
      <c r="K33" s="83">
        <f>VLOOKUP(C33,'Sales Master'!$B$3:$BZ$2311,77,0)</f>
        <v>50</v>
      </c>
      <c r="L33" s="84">
        <f t="shared" si="3"/>
        <v>50</v>
      </c>
      <c r="M33" s="65"/>
      <c r="N33" s="145">
        <f>VLOOKUP(C33,'Sales Master'!$B$3:$DA$2272,104,0)</f>
        <v>19.5</v>
      </c>
      <c r="O33" s="145">
        <f t="shared" si="4"/>
        <v>30.5</v>
      </c>
      <c r="P33" s="145">
        <f t="shared" si="5"/>
        <v>30.5</v>
      </c>
    </row>
    <row r="34" spans="2:16" ht="20.149999999999999" customHeight="1" x14ac:dyDescent="0.45">
      <c r="B34" s="58"/>
      <c r="C34" s="244" t="s">
        <v>947</v>
      </c>
      <c r="D34" s="445" t="str">
        <f>VLOOKUP(C34,'Sales Master'!B$3:D$530,2,)</f>
        <v>Sea Coconut 海底椰</v>
      </c>
      <c r="E34" s="445"/>
      <c r="F34" s="445"/>
      <c r="G34" s="76">
        <v>1</v>
      </c>
      <c r="H34" s="186" t="str">
        <f>VLOOKUP(C34,'Sales Master'!$B$3:$F$2413,5,0)</f>
        <v>1 Can X A10</v>
      </c>
      <c r="I34" s="497" t="str">
        <f>VLOOKUP(C34,'Sales Master'!$B$3:$E$2413,4,0)</f>
        <v>Chefs</v>
      </c>
      <c r="J34" s="497"/>
      <c r="K34" s="83">
        <f>VLOOKUP(C34,'Sales Master'!$B$3:$BZ$2311,77,0)</f>
        <v>20</v>
      </c>
      <c r="L34" s="84">
        <f t="shared" si="3"/>
        <v>20</v>
      </c>
      <c r="M34" s="65"/>
      <c r="N34" s="145">
        <f>VLOOKUP(C34,'Sales Master'!$B$3:$DA$2272,104,0)</f>
        <v>16.666666666666668</v>
      </c>
      <c r="O34" s="145">
        <f t="shared" si="4"/>
        <v>3.3333333333333321</v>
      </c>
      <c r="P34" s="145">
        <f t="shared" si="5"/>
        <v>3.3333333333333321</v>
      </c>
    </row>
    <row r="35" spans="2:16" ht="20.149999999999999" customHeight="1" x14ac:dyDescent="0.45">
      <c r="B35" s="58"/>
      <c r="C35" s="212" t="s">
        <v>960</v>
      </c>
      <c r="D35" s="445" t="str">
        <f>VLOOKUP(C35,'Sales Master'!B$3:D$530,2,)</f>
        <v>Lychee in Syrup 荔枝</v>
      </c>
      <c r="E35" s="445"/>
      <c r="F35" s="445"/>
      <c r="G35" s="17">
        <v>1</v>
      </c>
      <c r="H35" s="186" t="str">
        <f>VLOOKUP(C35,'Sales Master'!$B$3:$F$2413,5,0)</f>
        <v>12can/箱</v>
      </c>
      <c r="I35" s="497" t="str">
        <f>VLOOKUP(C35,'Sales Master'!$B$3:$E$2413,4,0)</f>
        <v>MiLi</v>
      </c>
      <c r="J35" s="497"/>
      <c r="K35" s="83">
        <f>VLOOKUP(C35,'Sales Master'!$B$3:$BZ$2311,77,0)</f>
        <v>25</v>
      </c>
      <c r="L35" s="84">
        <f t="shared" si="3"/>
        <v>25</v>
      </c>
      <c r="M35" s="65"/>
      <c r="N35" s="145">
        <f>VLOOKUP(C35,'Sales Master'!$B$3:$DA$2272,104,0)</f>
        <v>20</v>
      </c>
      <c r="O35" s="145">
        <f t="shared" si="4"/>
        <v>5</v>
      </c>
      <c r="P35" s="145">
        <f t="shared" si="5"/>
        <v>5</v>
      </c>
    </row>
    <row r="36" spans="2:16" ht="20.149999999999999" customHeight="1" x14ac:dyDescent="0.45">
      <c r="B36" s="58"/>
      <c r="C36" s="212" t="s">
        <v>964</v>
      </c>
      <c r="D36" s="445" t="str">
        <f>VLOOKUP(C36,'Sales Master'!B$3:D$530,2,)</f>
        <v>Cream Corn 玉米浆</v>
      </c>
      <c r="E36" s="445"/>
      <c r="F36" s="445"/>
      <c r="G36" s="17">
        <v>1</v>
      </c>
      <c r="H36" s="186" t="str">
        <f>VLOOKUP(C36,'Sales Master'!$B$3:$F$2413,5,0)</f>
        <v>410 GM x 24/ Ctn箱</v>
      </c>
      <c r="I36" s="497" t="str">
        <f>VLOOKUP(C36,'Sales Master'!$B$3:$E$2413,4,0)</f>
        <v>Statue</v>
      </c>
      <c r="J36" s="497"/>
      <c r="K36" s="83">
        <f>VLOOKUP(C36,'Sales Master'!$B$3:$BZ$2311,77,0)</f>
        <v>25</v>
      </c>
      <c r="L36" s="84">
        <f t="shared" ref="L36:L40" si="6">K36*G36</f>
        <v>25</v>
      </c>
      <c r="M36" s="65"/>
      <c r="N36" s="145">
        <f>VLOOKUP(C36,'Sales Master'!$B$3:$DA$2272,104,0)</f>
        <v>18</v>
      </c>
      <c r="O36" s="145">
        <f t="shared" ref="O36:O40" si="7">K36-N36</f>
        <v>7</v>
      </c>
      <c r="P36" s="145">
        <f t="shared" ref="P36:P40" si="8">O36*G36</f>
        <v>7</v>
      </c>
    </row>
    <row r="37" spans="2:16" ht="20.149999999999999" customHeight="1" x14ac:dyDescent="0.45">
      <c r="B37" s="58"/>
      <c r="C37" s="212" t="s">
        <v>966</v>
      </c>
      <c r="D37" s="445" t="str">
        <f>VLOOKUP(C37,'Sales Master'!B$3:D$530,2,)</f>
        <v>Whole Corn 玉米粒</v>
      </c>
      <c r="E37" s="445"/>
      <c r="F37" s="445"/>
      <c r="G37" s="17">
        <v>1</v>
      </c>
      <c r="H37" s="186" t="str">
        <f>VLOOKUP(C37,'Sales Master'!$B$3:$F$2413,5,0)</f>
        <v>425 GM x 24/ Ctn箱</v>
      </c>
      <c r="I37" s="497" t="str">
        <f>VLOOKUP(C37,'Sales Master'!$B$3:$E$2413,4,0)</f>
        <v>Statue</v>
      </c>
      <c r="J37" s="497"/>
      <c r="K37" s="83">
        <f>VLOOKUP(C37,'Sales Master'!$B$3:$BZ$2311,77,0)</f>
        <v>25</v>
      </c>
      <c r="L37" s="84">
        <f t="shared" si="6"/>
        <v>25</v>
      </c>
      <c r="M37" s="65"/>
      <c r="N37" s="145">
        <f>VLOOKUP(C37,'Sales Master'!$B$3:$DA$2272,104,0)</f>
        <v>18</v>
      </c>
      <c r="O37" s="145">
        <f t="shared" si="7"/>
        <v>7</v>
      </c>
      <c r="P37" s="145">
        <f t="shared" si="8"/>
        <v>7</v>
      </c>
    </row>
    <row r="38" spans="2:16" ht="20.149999999999999" customHeight="1" x14ac:dyDescent="0.45">
      <c r="B38" s="58"/>
      <c r="C38" s="212" t="s">
        <v>2258</v>
      </c>
      <c r="D38" s="445" t="str">
        <f>VLOOKUP(C38,'Sales Master'!B$3:D$530,2,)</f>
        <v>Longan in Syrup 龙眼</v>
      </c>
      <c r="E38" s="445"/>
      <c r="F38" s="445"/>
      <c r="G38" s="76">
        <v>1</v>
      </c>
      <c r="H38" s="186" t="str">
        <f>VLOOKUP(C38,'Sales Master'!$B$3:$F$2413,5,0)</f>
        <v>(565gm x 12)/ Ctn箱</v>
      </c>
      <c r="I38" s="497" t="str">
        <f>VLOOKUP(C38,'Sales Master'!$B$3:$E$2413,4,0)</f>
        <v>GoldenBoy</v>
      </c>
      <c r="J38" s="497"/>
      <c r="K38" s="83">
        <f>VLOOKUP(C38,'Sales Master'!$B$3:$BZ$2311,77,0)</f>
        <v>26</v>
      </c>
      <c r="L38" s="84">
        <f>K38*G38</f>
        <v>26</v>
      </c>
      <c r="M38" s="65"/>
      <c r="N38" s="145">
        <f>VLOOKUP(C38,'Sales Master'!$B$3:$DA$2272,104,0)</f>
        <v>20</v>
      </c>
      <c r="O38" s="145">
        <f>K38-N38</f>
        <v>6</v>
      </c>
      <c r="P38" s="145">
        <f>O38*G38</f>
        <v>6</v>
      </c>
    </row>
    <row r="39" spans="2:16" ht="20.149999999999999" customHeight="1" x14ac:dyDescent="0.45">
      <c r="B39" s="58"/>
      <c r="C39" s="212" t="s">
        <v>1028</v>
      </c>
      <c r="D39" s="445" t="str">
        <f>VLOOKUP(C39,'Sales Master'!B$3:D$530,2,)</f>
        <v>Sweet Potato 番薯</v>
      </c>
      <c r="E39" s="445"/>
      <c r="F39" s="445"/>
      <c r="G39" s="17">
        <v>4</v>
      </c>
      <c r="H39" s="186" t="str">
        <f>VLOOKUP(C39,'Sales Master'!$B$3:$F$2413,5,0)</f>
        <v>1 KG</v>
      </c>
      <c r="I39" s="497" t="str">
        <f>VLOOKUP(C39,'Sales Master'!$B$3:$E$2413,4,0)</f>
        <v>-</v>
      </c>
      <c r="J39" s="497"/>
      <c r="K39" s="83">
        <f>VLOOKUP(C39,'Sales Master'!$B$3:$BZ$2311,77,0)</f>
        <v>2.6</v>
      </c>
      <c r="L39" s="84">
        <f t="shared" si="6"/>
        <v>10.4</v>
      </c>
      <c r="M39" s="65"/>
      <c r="N39" s="145">
        <f>VLOOKUP(C39,'Sales Master'!$B$3:$DA$2272,104,0)</f>
        <v>1.675</v>
      </c>
      <c r="O39" s="145">
        <f t="shared" si="7"/>
        <v>0.92500000000000004</v>
      </c>
      <c r="P39" s="145">
        <f t="shared" si="8"/>
        <v>3.7</v>
      </c>
    </row>
    <row r="40" spans="2:16" ht="20.149999999999999" customHeight="1" x14ac:dyDescent="0.45">
      <c r="B40" s="58"/>
      <c r="C40" s="212" t="s">
        <v>1033</v>
      </c>
      <c r="D40" s="445" t="str">
        <f>VLOOKUP(C40,'Sales Master'!B$3:D$530,2,)</f>
        <v>Pandan Leaf 班兰叶</v>
      </c>
      <c r="E40" s="445"/>
      <c r="F40" s="445"/>
      <c r="G40" s="17">
        <v>3</v>
      </c>
      <c r="H40" s="186" t="str">
        <f>VLOOKUP(C40,'Sales Master'!$B$3:$F$2413,5,0)</f>
        <v>1 KG</v>
      </c>
      <c r="I40" s="497" t="str">
        <f>VLOOKUP(C40,'Sales Master'!$B$3:$E$2413,4,0)</f>
        <v>-</v>
      </c>
      <c r="J40" s="497"/>
      <c r="K40" s="83">
        <f>VLOOKUP(C40,'Sales Master'!$B$3:$BZ$2311,77,0)</f>
        <v>2</v>
      </c>
      <c r="L40" s="84">
        <f t="shared" si="6"/>
        <v>6</v>
      </c>
      <c r="M40" s="65"/>
      <c r="N40" s="145">
        <f>VLOOKUP(C40,'Sales Master'!$B$3:$DA$2272,104,0)</f>
        <v>1.1000000000000001</v>
      </c>
      <c r="O40" s="145">
        <f t="shared" si="7"/>
        <v>0.89999999999999991</v>
      </c>
      <c r="P40" s="145">
        <f t="shared" si="8"/>
        <v>2.6999999999999997</v>
      </c>
    </row>
    <row r="41" spans="2:16" ht="20.149999999999999" customHeight="1" x14ac:dyDescent="0.45">
      <c r="B41" s="58"/>
      <c r="C41" s="212"/>
      <c r="D41" s="65"/>
      <c r="E41" s="65"/>
      <c r="F41" s="65"/>
      <c r="G41" s="17"/>
      <c r="H41" s="186"/>
      <c r="I41" s="208"/>
      <c r="J41" s="208"/>
      <c r="K41" s="83"/>
      <c r="L41" s="84"/>
      <c r="M41" s="65"/>
      <c r="N41" s="145"/>
      <c r="O41" s="145"/>
      <c r="P41" s="145"/>
    </row>
    <row r="42" spans="2:16" ht="20.149999999999999" customHeight="1" x14ac:dyDescent="0.45">
      <c r="B42" s="58"/>
      <c r="C42" s="212"/>
      <c r="D42" s="445"/>
      <c r="E42" s="445"/>
      <c r="F42" s="445"/>
      <c r="G42" s="76"/>
      <c r="H42" s="82"/>
      <c r="I42" s="446"/>
      <c r="J42" s="446"/>
      <c r="K42" s="190"/>
      <c r="L42" s="84"/>
      <c r="M42" s="65"/>
      <c r="N42" s="145"/>
      <c r="O42" s="145"/>
      <c r="P42" s="145"/>
    </row>
    <row r="43" spans="2:16" ht="20.149999999999999" customHeight="1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6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55" t="s">
        <v>13</v>
      </c>
      <c r="K44" s="456"/>
      <c r="L44" s="38">
        <f>SUM(L18:L43)</f>
        <v>451.9</v>
      </c>
      <c r="M44" s="63">
        <f>SUM(P18:P35)</f>
        <v>160.16333333333333</v>
      </c>
      <c r="N44" s="133">
        <f>M44/L44</f>
        <v>0.35442206977944973</v>
      </c>
    </row>
    <row r="45" spans="2:16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</row>
    <row r="46" spans="2:16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57" t="s">
        <v>19</v>
      </c>
      <c r="K46" s="458"/>
      <c r="L46" s="41">
        <f>L44-L45</f>
        <v>451.9</v>
      </c>
    </row>
    <row r="47" spans="2:16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40.670999999999999</v>
      </c>
    </row>
    <row r="48" spans="2:16" ht="20.149999999999999" customHeight="1" thickBot="1" x14ac:dyDescent="0.5">
      <c r="B48" s="10" t="s">
        <v>23</v>
      </c>
      <c r="C48" s="6"/>
      <c r="D48" s="6"/>
      <c r="E48" s="6"/>
      <c r="F48" s="6"/>
      <c r="G48" s="6"/>
      <c r="H48" s="6"/>
      <c r="I48" s="6"/>
      <c r="J48" s="459" t="s">
        <v>21</v>
      </c>
      <c r="K48" s="460"/>
      <c r="L48" s="43">
        <f>L46+L47</f>
        <v>492.57099999999997</v>
      </c>
    </row>
    <row r="49" spans="2:1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</row>
    <row r="50" spans="2:12" ht="20.149999999999999" customHeight="1" x14ac:dyDescent="0.45">
      <c r="B50" s="144" t="s">
        <v>690</v>
      </c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36"/>
      <c r="L52" s="37"/>
    </row>
    <row r="53" spans="2:12" ht="20.149999999999999" customHeight="1" x14ac:dyDescent="0.45">
      <c r="B53" s="36"/>
      <c r="L53" s="37"/>
    </row>
    <row r="54" spans="2:12" ht="20.149999999999999" customHeight="1" x14ac:dyDescent="0.45">
      <c r="B54" s="44"/>
      <c r="C54" s="45"/>
      <c r="D54" s="45"/>
      <c r="J54" s="45"/>
      <c r="K54" s="45"/>
      <c r="L54" s="46"/>
    </row>
    <row r="55" spans="2:12" ht="20.149999999999999" customHeight="1" x14ac:dyDescent="0.45">
      <c r="B55" s="36" t="s">
        <v>25</v>
      </c>
      <c r="J55" s="19" t="s">
        <v>26</v>
      </c>
      <c r="L55" s="37"/>
    </row>
    <row r="56" spans="2:1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</row>
  </sheetData>
  <mergeCells count="66">
    <mergeCell ref="I32:J32"/>
    <mergeCell ref="I24:J24"/>
    <mergeCell ref="D25:F25"/>
    <mergeCell ref="D26:F26"/>
    <mergeCell ref="I27:J27"/>
    <mergeCell ref="D28:F28"/>
    <mergeCell ref="D29:F29"/>
    <mergeCell ref="I28:J28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8:K48"/>
    <mergeCell ref="J44:K44"/>
    <mergeCell ref="J46:K46"/>
    <mergeCell ref="I35:J35"/>
    <mergeCell ref="D42:F42"/>
    <mergeCell ref="I42:J42"/>
    <mergeCell ref="D35:F35"/>
    <mergeCell ref="D36:F36"/>
    <mergeCell ref="D37:F37"/>
    <mergeCell ref="D39:F39"/>
    <mergeCell ref="D40:F40"/>
    <mergeCell ref="I36:J36"/>
    <mergeCell ref="I37:J37"/>
    <mergeCell ref="I39:J39"/>
    <mergeCell ref="I40:J40"/>
    <mergeCell ref="D38:F38"/>
    <mergeCell ref="I17:J17"/>
    <mergeCell ref="I23:J23"/>
    <mergeCell ref="D17:F17"/>
    <mergeCell ref="D18:F18"/>
    <mergeCell ref="D20:F20"/>
    <mergeCell ref="D21:F21"/>
    <mergeCell ref="D19:F19"/>
    <mergeCell ref="I18:J18"/>
    <mergeCell ref="I19:J19"/>
    <mergeCell ref="I20:J20"/>
    <mergeCell ref="I21:J21"/>
    <mergeCell ref="I22:J22"/>
    <mergeCell ref="I38:J38"/>
    <mergeCell ref="D22:F22"/>
    <mergeCell ref="D23:F23"/>
    <mergeCell ref="D24:F24"/>
    <mergeCell ref="D34:F34"/>
    <mergeCell ref="D27:F27"/>
    <mergeCell ref="I34:J34"/>
    <mergeCell ref="I30:J30"/>
    <mergeCell ref="D30:F30"/>
    <mergeCell ref="D31:F31"/>
    <mergeCell ref="I31:J31"/>
    <mergeCell ref="D33:F33"/>
    <mergeCell ref="I33:J33"/>
    <mergeCell ref="I25:J25"/>
    <mergeCell ref="I26:J26"/>
    <mergeCell ref="D32:F32"/>
  </mergeCells>
  <conditionalFormatting sqref="C38">
    <cfRule type="duplicateValues" dxfId="104" priority="2"/>
  </conditionalFormatting>
  <conditionalFormatting sqref="C42">
    <cfRule type="duplicateValues" dxfId="103" priority="2013"/>
  </conditionalFormatting>
  <pageMargins left="0.70866141732283505" right="0.23622047244094499" top="0.23622047244094499" bottom="0.23622047244094499" header="0.31496062992126" footer="0.31496062992126"/>
  <pageSetup paperSize="9" scale="72" orientation="portrait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C000"/>
    <pageSetUpPr fitToPage="1"/>
  </sheetPr>
  <dimension ref="B1:Q39"/>
  <sheetViews>
    <sheetView topLeftCell="B23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1126</v>
      </c>
      <c r="J10" s="24" t="s">
        <v>27</v>
      </c>
      <c r="K10" s="493">
        <v>202412319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Causeway Point @DRINK STALL, Woodlands Square #04-01 Causeway Point Singapore 738099                                                        </v>
      </c>
      <c r="G11" s="481"/>
      <c r="H11" s="482"/>
      <c r="J11" s="26" t="s">
        <v>9</v>
      </c>
      <c r="K11" s="495">
        <v>45640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  <c r="N12" s="19" t="s">
        <v>916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58"/>
      <c r="C18" s="212" t="s">
        <v>916</v>
      </c>
      <c r="D18" s="461" t="str">
        <f>VLOOKUP(C18,'Sales Master'!B$3:D$530,2,)</f>
        <v>Sour Plum 酸梅(无子)</v>
      </c>
      <c r="E18" s="461"/>
      <c r="F18" s="461"/>
      <c r="G18" s="76">
        <v>1</v>
      </c>
      <c r="H18" s="183" t="str">
        <f>VLOOKUP(C18,'Sales Master'!$B$3:$F$2413,5,0)</f>
        <v>1 kg</v>
      </c>
      <c r="I18" s="462" t="str">
        <f>VLOOKUP(C18,'Sales Master'!$B$3:$E$2413,4,0)</f>
        <v>-</v>
      </c>
      <c r="J18" s="462"/>
      <c r="K18" s="83">
        <f>VLOOKUP(C18,'Sales Master'!B$3:I$530,8,0)</f>
        <v>19</v>
      </c>
      <c r="L18" s="84">
        <f>K18*G18</f>
        <v>19</v>
      </c>
      <c r="N18" s="145">
        <f>VLOOKUP(C18,'Sales Master'!$B$3:$DA$2272,104,0)</f>
        <v>14.533333333333333</v>
      </c>
      <c r="O18" s="145">
        <f>K18-N18</f>
        <v>4.4666666666666668</v>
      </c>
      <c r="P18" s="145">
        <f>O18*G18</f>
        <v>4.4666666666666668</v>
      </c>
      <c r="Q18" s="170"/>
    </row>
    <row r="19" spans="2:17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</row>
    <row r="20" spans="2:17" ht="20.149999999999999" customHeight="1" x14ac:dyDescent="0.45">
      <c r="B20" s="58"/>
      <c r="C20" s="17"/>
      <c r="D20" s="461"/>
      <c r="E20" s="461"/>
      <c r="F20" s="461"/>
      <c r="G20" s="158"/>
      <c r="H20" s="56"/>
      <c r="I20" s="491"/>
      <c r="J20" s="491"/>
      <c r="K20" s="83"/>
      <c r="L20" s="84"/>
      <c r="M20" s="65"/>
    </row>
    <row r="21" spans="2:17" ht="20.149999999999999" customHeight="1" x14ac:dyDescent="0.45">
      <c r="B21" s="58"/>
      <c r="G21" s="158"/>
      <c r="H21" s="56"/>
      <c r="I21" s="491"/>
      <c r="J21" s="491"/>
      <c r="K21" s="83"/>
      <c r="L21" s="84"/>
      <c r="M21" s="65"/>
    </row>
    <row r="22" spans="2:17" ht="20.149999999999999" customHeight="1" x14ac:dyDescent="0.45">
      <c r="B22" s="58"/>
      <c r="C22" s="17"/>
      <c r="D22" s="461"/>
      <c r="E22" s="461"/>
      <c r="F22" s="461"/>
      <c r="G22" s="158"/>
      <c r="H22" s="56"/>
      <c r="I22" s="491"/>
      <c r="J22" s="491"/>
      <c r="K22" s="83"/>
      <c r="L22" s="84"/>
      <c r="M22" s="65"/>
    </row>
    <row r="23" spans="2:17" ht="20.149999999999999" customHeight="1" x14ac:dyDescent="0.45">
      <c r="B23" s="58"/>
      <c r="C23" s="17"/>
      <c r="D23" s="461"/>
      <c r="E23" s="461"/>
      <c r="F23" s="461"/>
      <c r="G23" s="158"/>
      <c r="H23" s="56"/>
      <c r="I23" s="491"/>
      <c r="J23" s="491"/>
      <c r="K23" s="83"/>
      <c r="L23" s="84"/>
      <c r="M23" s="65"/>
    </row>
    <row r="24" spans="2:17" ht="20.149999999999999" customHeight="1" x14ac:dyDescent="0.45">
      <c r="B24" s="58"/>
      <c r="C24" s="17"/>
      <c r="D24" s="461"/>
      <c r="E24" s="461"/>
      <c r="F24" s="461"/>
      <c r="G24" s="158"/>
      <c r="H24" s="56"/>
      <c r="I24" s="491"/>
      <c r="J24" s="491"/>
      <c r="K24" s="83"/>
      <c r="L24" s="84"/>
      <c r="M24" s="65"/>
    </row>
    <row r="25" spans="2:17" ht="20.149999999999999" customHeight="1" x14ac:dyDescent="0.45">
      <c r="B25" s="58"/>
      <c r="C25" s="17"/>
      <c r="D25" s="461"/>
      <c r="E25" s="461"/>
      <c r="F25" s="461"/>
      <c r="G25" s="158"/>
      <c r="H25" s="56"/>
      <c r="I25" s="491"/>
      <c r="J25" s="491"/>
      <c r="K25" s="83"/>
      <c r="L25" s="84"/>
      <c r="M25" s="65"/>
    </row>
    <row r="26" spans="2:17" ht="20.149999999999999" customHeight="1" thickBot="1" x14ac:dyDescent="0.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9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55" t="s">
        <v>13</v>
      </c>
      <c r="K27" s="456"/>
      <c r="L27" s="38">
        <f>SUM(L17:L26)</f>
        <v>19</v>
      </c>
      <c r="M27" s="63">
        <f>SUM(P18)</f>
        <v>4.4666666666666668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57" t="s">
        <v>19</v>
      </c>
      <c r="K29" s="458"/>
      <c r="L29" s="41">
        <f>L27-L28</f>
        <v>19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17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59" t="s">
        <v>21</v>
      </c>
      <c r="K31" s="460"/>
      <c r="L31" s="43">
        <f>L29+L30</f>
        <v>20.71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690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1127</v>
      </c>
      <c r="J10" s="24" t="s">
        <v>27</v>
      </c>
      <c r="K10" s="493">
        <v>202112309</v>
      </c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81"/>
      <c r="H11" s="482"/>
      <c r="J11" s="26" t="s">
        <v>9</v>
      </c>
      <c r="K11" s="486">
        <v>44550</v>
      </c>
      <c r="L11" s="487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836</v>
      </c>
      <c r="D18" s="461" t="str">
        <f>VLOOKUP(C18,'Sales Master'!B$3:D$530,2,)</f>
        <v>Red Bean 红豆 (5.5 mm)</v>
      </c>
      <c r="E18" s="461"/>
      <c r="F18" s="461"/>
      <c r="G18" s="17">
        <v>2</v>
      </c>
      <c r="H18" s="56" t="str">
        <f>VLOOKUP(C18,'Sales Master'!$B$3:$F$2481,5,0)</f>
        <v>5 KG</v>
      </c>
      <c r="I18" s="491" t="str">
        <f>VLOOKUP(C18,'Sales Master'!$B$3:$E$2481,4,0)</f>
        <v>-</v>
      </c>
      <c r="J18" s="491"/>
      <c r="K18" s="30">
        <f>VLOOKUP(C18,'Sales Master'!$B$3:$J$530,9,0)</f>
        <v>17.5</v>
      </c>
      <c r="L18" s="31">
        <f>K18*G18</f>
        <v>35</v>
      </c>
      <c r="N18" s="145">
        <f>VLOOKUP(C18,'Sales Master'!$B$3:$DA$2272,104,0)</f>
        <v>12.5</v>
      </c>
      <c r="O18" s="145">
        <f>K18-N18</f>
        <v>5</v>
      </c>
      <c r="P18" s="145">
        <f>O18*G18</f>
        <v>10</v>
      </c>
    </row>
    <row r="19" spans="2:16" ht="20.149999999999999" customHeight="1" x14ac:dyDescent="0.45">
      <c r="B19" s="29"/>
      <c r="C19" s="17" t="s">
        <v>849</v>
      </c>
      <c r="D19" s="461" t="str">
        <f>VLOOKUP(C19,'Sales Master'!B$3:D$530,2,)</f>
        <v>Green Bean 绿豆</v>
      </c>
      <c r="E19" s="461"/>
      <c r="F19" s="461"/>
      <c r="G19" s="17">
        <v>2</v>
      </c>
      <c r="H19" s="56" t="str">
        <f>VLOOKUP(C19,'Sales Master'!$B$3:$F$2481,5,0)</f>
        <v>5 KG</v>
      </c>
      <c r="I19" s="491" t="str">
        <f>VLOOKUP(C19,'Sales Master'!$B$3:$E$2481,4,0)</f>
        <v>-</v>
      </c>
      <c r="J19" s="491"/>
      <c r="K19" s="30">
        <f>VLOOKUP(C19,'Sales Master'!$B$3:$J$530,9,0)</f>
        <v>13</v>
      </c>
      <c r="L19" s="31">
        <f>K19*G19</f>
        <v>26</v>
      </c>
      <c r="N19" s="145">
        <f>VLOOKUP(C19,'Sales Master'!$B$3:$DA$2272,104,0)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17" t="s">
        <v>870</v>
      </c>
      <c r="D20" s="461" t="str">
        <f>VLOOKUP(C20,'Sales Master'!B$3:D$530,2,)</f>
        <v>Pearl Barley 薏米</v>
      </c>
      <c r="E20" s="461"/>
      <c r="F20" s="461"/>
      <c r="G20" s="17">
        <v>1</v>
      </c>
      <c r="H20" s="56" t="str">
        <f>VLOOKUP(C20,'Sales Master'!$B$3:$F$2481,5,0)</f>
        <v>5 KG</v>
      </c>
      <c r="I20" s="491" t="str">
        <f>VLOOKUP(C20,'Sales Master'!$B$3:$E$2481,4,0)</f>
        <v>-</v>
      </c>
      <c r="J20" s="491"/>
      <c r="K20" s="30">
        <f>VLOOKUP(C20,'Sales Master'!$B$3:$J$530,9,0)</f>
        <v>10</v>
      </c>
      <c r="L20" s="31">
        <f>K20*G20</f>
        <v>10</v>
      </c>
      <c r="N20" s="145">
        <f>VLOOKUP(C20,'Sales Master'!$B$3:$DA$2272,104,0)</f>
        <v>7.6</v>
      </c>
      <c r="O20" s="145">
        <f>K20-N20</f>
        <v>2.4000000000000004</v>
      </c>
      <c r="P20" s="145">
        <f>O20*G20</f>
        <v>2.4000000000000004</v>
      </c>
    </row>
    <row r="21" spans="2:16" ht="20.149999999999999" customHeight="1" x14ac:dyDescent="0.45">
      <c r="B21" s="29"/>
      <c r="C21" s="17" t="s">
        <v>1033</v>
      </c>
      <c r="D21" s="461" t="str">
        <f>VLOOKUP(C21,'Sales Master'!B$3:D$530,2,)</f>
        <v>Pandan Leaf 班兰叶</v>
      </c>
      <c r="E21" s="461"/>
      <c r="F21" s="461"/>
      <c r="G21" s="17">
        <v>1</v>
      </c>
      <c r="H21" s="56" t="str">
        <f>VLOOKUP(C21,'Sales Master'!$B$3:$F$2481,5,0)</f>
        <v>1 KG</v>
      </c>
      <c r="I21" s="491" t="str">
        <f>VLOOKUP(C21,'Sales Master'!$B$3:$E$2481,4,0)</f>
        <v>-</v>
      </c>
      <c r="J21" s="491"/>
      <c r="K21" s="30">
        <f>VLOOKUP(C21,'Sales Master'!$B$3:$J$530,9,0)</f>
        <v>1.8</v>
      </c>
      <c r="L21" s="31">
        <f>K21*G21</f>
        <v>1.8</v>
      </c>
      <c r="N21" s="145">
        <f>VLOOKUP(C21,'Sales Master'!$B$3:$DA$2272,104,0)</f>
        <v>1.1000000000000001</v>
      </c>
      <c r="O21" s="145">
        <f>K21-N21</f>
        <v>0.7</v>
      </c>
      <c r="P21" s="145">
        <f>O21*G21</f>
        <v>0.7</v>
      </c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90"/>
      <c r="E25" s="490"/>
      <c r="F25" s="490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55" t="s">
        <v>13</v>
      </c>
      <c r="K27" s="456"/>
      <c r="L27" s="38">
        <f>SUM(L17:L25)</f>
        <v>72.8</v>
      </c>
      <c r="M27" s="63">
        <f>SUM(P18:P21)</f>
        <v>21.599999999999998</v>
      </c>
      <c r="N27" s="133">
        <f>M27/L27</f>
        <v>0.2967032967032967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57" t="s">
        <v>19</v>
      </c>
      <c r="K29" s="458"/>
      <c r="L29" s="41">
        <f>L27-L28</f>
        <v>72.8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6.5519999999999996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59" t="s">
        <v>21</v>
      </c>
      <c r="K31" s="460"/>
      <c r="L31" s="43">
        <f>L29+L30</f>
        <v>79.352000000000004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2"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5:F25"/>
    <mergeCell ref="J27:K27"/>
    <mergeCell ref="J29:K29"/>
    <mergeCell ref="J31:K31"/>
    <mergeCell ref="D24:F2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6C7D-FF5F-4BE3-8C41-FC9A6114E739}">
  <sheetPr>
    <tabColor rgb="FF7030A0"/>
    <pageSetUpPr fitToPage="1"/>
  </sheetPr>
  <dimension ref="B1:M43"/>
  <sheetViews>
    <sheetView topLeftCell="A7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1131</v>
      </c>
      <c r="J10" s="24" t="s">
        <v>27</v>
      </c>
      <c r="K10" s="493">
        <v>202501146</v>
      </c>
      <c r="L10" s="494"/>
    </row>
    <row r="11" spans="2:12" ht="20.149999999999999" customHeight="1" x14ac:dyDescent="0.45">
      <c r="B11" s="477" t="s">
        <v>2225</v>
      </c>
      <c r="C11" s="478"/>
      <c r="D11" s="479"/>
      <c r="E11" s="25"/>
      <c r="F11" s="480" t="str">
        <f>VLOOKUP(H10,'Delivery Location'!A$4:N$460,2,0)</f>
        <v>Paradise Oriental Pte Ltd                                                                             200 Victoria Street, Bugis Junction #02-50 Singapore 188021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2291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1088</v>
      </c>
      <c r="D18" s="564" t="str">
        <f>VLOOKUP(C18,'Sales Master'!B$3:D$530,2,)</f>
        <v>Chendol CUSTOM MADE 浆咯</v>
      </c>
      <c r="E18" s="564"/>
      <c r="F18" s="564"/>
      <c r="G18" s="17">
        <v>10</v>
      </c>
      <c r="H18" s="56" t="str">
        <f>VLOOKUP(C18,'Sales Master'!$B$3:$F$2481,5,0)</f>
        <v>(1500:500)2KG</v>
      </c>
      <c r="I18" s="491" t="str">
        <f>VLOOKUP(C18,'Sales Master'!$B$3:$E$2481,4,0)</f>
        <v>DO!</v>
      </c>
      <c r="J18" s="491"/>
      <c r="K18" s="30">
        <f>VLOOKUP(C18,'Sales Master'!$B$3:$BJ$530,61,0)</f>
        <v>12</v>
      </c>
      <c r="L18" s="31">
        <f>K18*G18</f>
        <v>120</v>
      </c>
    </row>
    <row r="19" spans="2:13" ht="20.149999999999999" customHeight="1" x14ac:dyDescent="0.45">
      <c r="B19" s="29"/>
      <c r="C19" s="212" t="s">
        <v>831</v>
      </c>
      <c r="D19" s="461" t="str">
        <f>VLOOKUP(C19,'Sales Master'!B$3:D$530,2,)</f>
        <v>Chin Chow  仙草</v>
      </c>
      <c r="E19" s="461"/>
      <c r="F19" s="461"/>
      <c r="G19" s="17">
        <v>15</v>
      </c>
      <c r="H19" s="56" t="str">
        <f>VLOOKUP(C19,'Sales Master'!$B$3:$F$2481,5,0)</f>
        <v>4 KG/ Pkt包</v>
      </c>
      <c r="I19" s="491" t="str">
        <f>VLOOKUP(C19,'Sales Master'!$B$3:$E$2481,4,0)</f>
        <v>TSM</v>
      </c>
      <c r="J19" s="491"/>
      <c r="K19" s="30">
        <f>VLOOKUP(C19,'Sales Master'!$B$3:$BJ$530,61,0)</f>
        <v>6</v>
      </c>
      <c r="L19" s="31">
        <f t="shared" ref="L19" si="0">K19*G19</f>
        <v>90</v>
      </c>
    </row>
    <row r="20" spans="2:13" ht="20.149999999999999" customHeight="1" x14ac:dyDescent="0.45">
      <c r="B20" s="29"/>
      <c r="C20" s="212"/>
      <c r="D20" s="492"/>
      <c r="E20" s="492"/>
      <c r="F20" s="492"/>
      <c r="G20" s="17"/>
      <c r="H20" s="56"/>
      <c r="I20" s="491"/>
      <c r="J20" s="491"/>
      <c r="K20" s="30"/>
      <c r="L20" s="31"/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2"/>
      <c r="D22" s="414"/>
      <c r="E22" s="414"/>
      <c r="F22" s="414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2"/>
      <c r="D23" s="414"/>
      <c r="E23" s="414"/>
      <c r="F23" s="414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31"/>
    </row>
    <row r="27" spans="2:1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210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210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18.899999999999999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228.9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4">
    <mergeCell ref="D25:F25"/>
    <mergeCell ref="I25:J25"/>
    <mergeCell ref="J31:K31"/>
    <mergeCell ref="J33:K33"/>
    <mergeCell ref="J35:K35"/>
    <mergeCell ref="D26:F26"/>
    <mergeCell ref="I26:J26"/>
    <mergeCell ref="D27:F27"/>
    <mergeCell ref="I27:J27"/>
    <mergeCell ref="D28:F28"/>
    <mergeCell ref="D29:F29"/>
    <mergeCell ref="I17:J17"/>
    <mergeCell ref="D20:F20"/>
    <mergeCell ref="I20:J20"/>
    <mergeCell ref="D24:F24"/>
    <mergeCell ref="I24:J24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FA04-A450-4C52-B8E3-A7ADC16B4010}">
  <sheetPr>
    <tabColor rgb="FFFFC000"/>
    <pageSetUpPr fitToPage="1"/>
  </sheetPr>
  <dimension ref="B1:P42"/>
  <sheetViews>
    <sheetView topLeftCell="A3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1145</v>
      </c>
      <c r="J10" s="24" t="s">
        <v>27</v>
      </c>
      <c r="K10" s="493">
        <v>202401423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PTE LTD - Drink                                    BLK 671, Edgefield Plains  #01-01                  Singapore 820671              </v>
      </c>
      <c r="G11" s="481"/>
      <c r="H11" s="482"/>
      <c r="J11" s="26" t="s">
        <v>9</v>
      </c>
      <c r="K11" s="495">
        <v>45311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961</v>
      </c>
      <c r="D18" s="579" t="str">
        <f>VLOOKUP(C18,'Sales Master'!B$3:D$530,2,)</f>
        <v>Lychee in Syrup 荔枝</v>
      </c>
      <c r="E18" s="579"/>
      <c r="F18" s="579"/>
      <c r="G18" s="17">
        <v>1</v>
      </c>
      <c r="H18" s="56" t="str">
        <f>VLOOKUP(C18,'Sales Master'!$B$3:$F$2481,5,0)</f>
        <v>12 CAN/CARTON</v>
      </c>
      <c r="I18" s="491" t="str">
        <f>VLOOKUP(C18,'Sales Master'!$B$3:$E$2481,4,0)</f>
        <v>Statue</v>
      </c>
      <c r="J18" s="491"/>
      <c r="K18" s="30">
        <f>VLOOKUP(C18,'Sales Master'!$B$3:$J$530,9,0)</f>
        <v>22</v>
      </c>
      <c r="L18" s="31">
        <f>K18*G18</f>
        <v>22</v>
      </c>
      <c r="N18" s="145">
        <f>VLOOKUP(C18,'Sales Master'!$B$3:$DA$2272,104,0)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22</v>
      </c>
      <c r="M30" s="63">
        <f>SUM(P18:P27)-L30*0.02</f>
        <v>5.0599999999999996</v>
      </c>
      <c r="N30" s="133">
        <f>M30/L30</f>
        <v>0.22999999999999998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23.98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D25:F25"/>
    <mergeCell ref="D26:F26"/>
    <mergeCell ref="D27:F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topLeftCell="A9" workbookViewId="0">
      <selection activeCell="K29" sqref="K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30.1796875" style="19" customWidth="1"/>
    <col min="7" max="7" width="8.54296875" style="19" customWidth="1"/>
    <col min="8" max="8" width="6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1147</v>
      </c>
      <c r="J10" s="24" t="s">
        <v>27</v>
      </c>
      <c r="K10" s="493">
        <v>202208453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 xml:space="preserve">PS Seiko Pte Ltd                                                    2, Woodlands Sector, #05-23/25 Woodlands Spectrum 1                                     SINGAPORe 738068          </v>
      </c>
      <c r="G11" s="481"/>
      <c r="H11" s="482"/>
      <c r="J11" s="26" t="s">
        <v>9</v>
      </c>
      <c r="K11" s="495">
        <v>44799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671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58"/>
      <c r="C18" s="17" t="s">
        <v>34</v>
      </c>
      <c r="D18" s="518" t="s">
        <v>1321</v>
      </c>
      <c r="E18" s="518"/>
      <c r="F18" s="518"/>
      <c r="G18" s="76">
        <v>56</v>
      </c>
      <c r="H18" s="56" t="s">
        <v>34</v>
      </c>
      <c r="I18" s="491" t="s">
        <v>54</v>
      </c>
      <c r="J18" s="491"/>
      <c r="K18" s="83">
        <v>6.5</v>
      </c>
      <c r="L18" s="84">
        <f>K18*G18</f>
        <v>364</v>
      </c>
      <c r="M18" s="65"/>
      <c r="N18" s="145">
        <f>4.8+0.7</f>
        <v>5.5</v>
      </c>
      <c r="O18" s="145">
        <f>K18-N18</f>
        <v>1</v>
      </c>
      <c r="P18" s="145">
        <f>O18*G18</f>
        <v>56</v>
      </c>
    </row>
    <row r="19" spans="2:16" ht="20.149999999999999" customHeight="1" x14ac:dyDescent="0.45">
      <c r="B19" s="58"/>
      <c r="C19" s="17"/>
      <c r="D19" s="518"/>
      <c r="E19" s="518"/>
      <c r="F19" s="518"/>
      <c r="G19" s="76"/>
      <c r="H19" s="56"/>
      <c r="I19" s="491"/>
      <c r="J19" s="491"/>
      <c r="K19" s="83"/>
      <c r="L19" s="84"/>
      <c r="M19" s="6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56"/>
      <c r="I20" s="491"/>
      <c r="J20" s="491"/>
      <c r="K20" s="83"/>
      <c r="L20" s="84"/>
      <c r="M20" s="6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56"/>
      <c r="I21" s="491"/>
      <c r="J21" s="491"/>
      <c r="K21" s="83"/>
      <c r="L21" s="84"/>
      <c r="M21" s="6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56"/>
      <c r="I22" s="491"/>
      <c r="J22" s="491"/>
      <c r="K22" s="83"/>
      <c r="L22" s="84"/>
      <c r="M22" s="65"/>
    </row>
    <row r="23" spans="2:16" ht="20.149999999999999" customHeight="1" x14ac:dyDescent="0.45">
      <c r="B23" s="58"/>
      <c r="C23" s="17"/>
      <c r="D23" s="461"/>
      <c r="E23" s="461"/>
      <c r="F23" s="461"/>
      <c r="G23" s="156"/>
      <c r="H23" s="56"/>
      <c r="I23" s="491"/>
      <c r="J23" s="491"/>
      <c r="K23" s="83"/>
      <c r="L23" s="84"/>
      <c r="M23" s="65"/>
    </row>
    <row r="24" spans="2:16" ht="20.149999999999999" customHeight="1" x14ac:dyDescent="0.45">
      <c r="B24" s="58"/>
      <c r="C24" s="17"/>
      <c r="D24" s="461"/>
      <c r="E24" s="461"/>
      <c r="F24" s="461"/>
      <c r="G24" s="156"/>
      <c r="H24" s="56"/>
      <c r="I24" s="491"/>
      <c r="J24" s="491"/>
      <c r="K24" s="83"/>
      <c r="L24" s="84"/>
      <c r="M24" s="65"/>
    </row>
    <row r="25" spans="2:16" ht="20.149999999999999" customHeight="1" thickBot="1" x14ac:dyDescent="0.5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9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55" t="s">
        <v>13</v>
      </c>
      <c r="K26" s="456"/>
      <c r="L26" s="38">
        <f>SUM(L17:L25)</f>
        <v>364</v>
      </c>
      <c r="M26" s="63"/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57" t="s">
        <v>19</v>
      </c>
      <c r="K28" s="458"/>
      <c r="L28" s="41">
        <f>L26-L27</f>
        <v>364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32.76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59" t="s">
        <v>21</v>
      </c>
      <c r="K30" s="460"/>
      <c r="L30" s="43">
        <f>L28+L29</f>
        <v>396.76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144" t="s">
        <v>690</v>
      </c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J28:K28"/>
    <mergeCell ref="J30:K30"/>
    <mergeCell ref="D23:F23"/>
    <mergeCell ref="I23:J23"/>
    <mergeCell ref="D24:F24"/>
    <mergeCell ref="I24:J24"/>
    <mergeCell ref="J26:K26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topLeftCell="A12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1149</v>
      </c>
      <c r="J10" s="24" t="s">
        <v>27</v>
      </c>
      <c r="K10" s="493">
        <v>202501223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Block 168 Punggol Field #01-01      Punggol Plaza Singapore 820168               </v>
      </c>
      <c r="G11" s="481"/>
      <c r="H11" s="482"/>
      <c r="J11" s="26" t="s">
        <v>9</v>
      </c>
      <c r="K11" s="495">
        <v>45667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212" t="s">
        <v>1028</v>
      </c>
      <c r="D18" s="461" t="str">
        <f>VLOOKUP(C18,'Sales Master'!B$3:D$530,2,)</f>
        <v>Sweet Potato 番薯</v>
      </c>
      <c r="E18" s="461"/>
      <c r="F18" s="461"/>
      <c r="G18" s="76">
        <v>20</v>
      </c>
      <c r="H18" s="186" t="str">
        <f>VLOOKUP(C18,'Sales Master'!$B$3:$F$2481,5,0)</f>
        <v>1 KG</v>
      </c>
      <c r="I18" s="497" t="str">
        <f>VLOOKUP(C18,'Sales Master'!$B$3:$E$2481,4,0)</f>
        <v>-</v>
      </c>
      <c r="J18" s="497"/>
      <c r="K18" s="30">
        <f>VLOOKUP(C18,'Sales Master'!$B$3:$AU$530,46,0)</f>
        <v>2.5</v>
      </c>
      <c r="L18" s="31">
        <f>K18*G18</f>
        <v>50</v>
      </c>
      <c r="N18" s="145">
        <f>VLOOKUP(C18,'Sales Master'!$B$3:$DA$2272,104,0)</f>
        <v>1.675</v>
      </c>
      <c r="O18" s="145">
        <f>K18-N18</f>
        <v>0.82499999999999996</v>
      </c>
      <c r="P18" s="145">
        <f>O18*G18</f>
        <v>16.5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491"/>
      <c r="J19" s="491"/>
      <c r="K19" s="30"/>
      <c r="L19" s="31"/>
      <c r="N19" s="145"/>
      <c r="O19" s="145"/>
      <c r="P19" s="145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50</v>
      </c>
      <c r="M30" s="63">
        <f>SUM(P18)-L30*0.02</f>
        <v>15.5</v>
      </c>
      <c r="N30" s="133">
        <f>M30/L30</f>
        <v>0.31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8:F28"/>
    <mergeCell ref="J30:K30"/>
    <mergeCell ref="J32:K32"/>
    <mergeCell ref="J34:K34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102" priority="3"/>
  </conditionalFormatting>
  <conditionalFormatting sqref="C19">
    <cfRule type="duplicateValues" dxfId="101" priority="6"/>
  </conditionalFormatting>
  <conditionalFormatting sqref="C20">
    <cfRule type="duplicateValues" dxfId="100" priority="4"/>
  </conditionalFormatting>
  <conditionalFormatting sqref="C21">
    <cfRule type="duplicateValues" dxfId="99" priority="5"/>
  </conditionalFormatting>
  <conditionalFormatting sqref="C22">
    <cfRule type="duplicateValues" dxfId="98" priority="2"/>
  </conditionalFormatting>
  <conditionalFormatting sqref="C23">
    <cfRule type="duplicateValues" dxfId="97" priority="1"/>
  </conditionalFormatting>
  <conditionalFormatting sqref="C25">
    <cfRule type="duplicateValues" dxfId="96" priority="7"/>
  </conditionalFormatting>
  <pageMargins left="0.51181102362204722" right="0.39370078740157483" top="0" bottom="0" header="0.31496062992125984" footer="0.31496062992125984"/>
  <pageSetup paperSize="9" scale="76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1"/>
  <sheetViews>
    <sheetView topLeftCell="B1" workbookViewId="0">
      <selection activeCell="J11" sqref="J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1156</v>
      </c>
      <c r="J10" s="24" t="s">
        <v>27</v>
      </c>
      <c r="K10" s="493">
        <v>202501180</v>
      </c>
      <c r="L10" s="494"/>
    </row>
    <row r="11" spans="2:14" ht="20.149999999999999" customHeight="1" x14ac:dyDescent="0.45">
      <c r="B11" s="477" t="s">
        <v>1297</v>
      </c>
      <c r="C11" s="478"/>
      <c r="D11" s="479"/>
      <c r="E11" s="25"/>
      <c r="F11" s="480" t="str">
        <f>VLOOKUP(H10,'Delivery Location'!A$4:N$460,2,0)</f>
        <v xml:space="preserve">GOODWOOF PTE. LTD.                                                                                31 Woodlands Close #06-16        Singapore 737855          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 t="s">
        <v>1157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2024</v>
      </c>
    </row>
    <row r="13" spans="2:14" ht="20.149999999999999" customHeight="1" x14ac:dyDescent="0.45">
      <c r="B13" s="488" t="s">
        <v>1158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1078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212" t="s">
        <v>1028</v>
      </c>
      <c r="D18" s="461" t="str">
        <f>VLOOKUP(C18,'Sales Master'!B$3:D$530,2,)</f>
        <v>Sweet Potato 番薯</v>
      </c>
      <c r="E18" s="461"/>
      <c r="F18" s="461"/>
      <c r="G18" s="76">
        <v>90</v>
      </c>
      <c r="H18" s="186" t="str">
        <f>VLOOKUP(C18,'Sales Master'!$B$3:$F$2481,5,0)</f>
        <v>1 KG</v>
      </c>
      <c r="I18" s="497" t="str">
        <f>VLOOKUP(C18,'Sales Master'!$B$3:$E$2481,4,0)</f>
        <v>-</v>
      </c>
      <c r="J18" s="497"/>
      <c r="K18" s="30">
        <f>VLOOKUP(C18,'Sales Master'!$B$3:$CD$530,81,0)</f>
        <v>2.8</v>
      </c>
      <c r="L18" s="31">
        <f>K18*G18</f>
        <v>251.99999999999997</v>
      </c>
      <c r="N18" s="145">
        <f>VLOOKUP(C18,'Sales Master'!$B$3:$DA$2272,104,0)</f>
        <v>1.675</v>
      </c>
      <c r="O18" s="145">
        <f>K18-N18</f>
        <v>1.1249999999999998</v>
      </c>
      <c r="P18" s="145">
        <f>O18*G18</f>
        <v>101.24999999999999</v>
      </c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31"/>
      <c r="N20" s="93"/>
      <c r="O20" s="93"/>
      <c r="P20" s="93"/>
      <c r="Q20" s="93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  <c r="N21" s="93"/>
      <c r="O21" s="93"/>
      <c r="P21" s="93"/>
      <c r="Q21" s="93"/>
      <c r="R21" s="93"/>
      <c r="S21" s="93"/>
      <c r="T21" s="93"/>
      <c r="U21" s="93"/>
      <c r="V21" s="93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  <c r="N22" s="93"/>
      <c r="O22" s="93"/>
      <c r="P22" s="93"/>
      <c r="Q22" s="93"/>
      <c r="R22" s="93"/>
      <c r="S22" s="93"/>
      <c r="T22" s="93"/>
      <c r="U22" s="93"/>
      <c r="V22" s="93"/>
    </row>
    <row r="23" spans="2:22" ht="20.149999999999999" customHeight="1" x14ac:dyDescent="0.45">
      <c r="B23" s="29"/>
      <c r="C23" s="153"/>
      <c r="G23" s="76"/>
      <c r="H23" s="85"/>
      <c r="I23" s="497"/>
      <c r="J23" s="497"/>
      <c r="K23" s="150"/>
      <c r="L23" s="31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150"/>
      <c r="L24" s="31"/>
    </row>
    <row r="25" spans="2:22" ht="20.149999999999999" customHeight="1" x14ac:dyDescent="0.45">
      <c r="B25" s="29"/>
      <c r="C25" s="18"/>
      <c r="D25" s="18"/>
      <c r="E25" s="18"/>
      <c r="F25" s="18"/>
      <c r="G25" s="18"/>
      <c r="H25" s="56"/>
      <c r="I25" s="56"/>
      <c r="J25" s="56"/>
      <c r="K25" s="83"/>
      <c r="L25" s="31"/>
    </row>
    <row r="26" spans="2:22" ht="20.149999999999999" customHeight="1" x14ac:dyDescent="0.45">
      <c r="B26" s="29"/>
      <c r="C26" s="17"/>
      <c r="G26" s="76"/>
      <c r="H26" s="56"/>
      <c r="I26" s="85"/>
      <c r="J26" s="85"/>
      <c r="K26" s="83"/>
      <c r="L26" s="31"/>
    </row>
    <row r="27" spans="2:22" ht="20.149999999999999" customHeight="1" x14ac:dyDescent="0.45">
      <c r="B27" s="104"/>
      <c r="C27" s="105"/>
      <c r="D27" s="454"/>
      <c r="E27" s="454"/>
      <c r="F27" s="45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251.99999999999997</v>
      </c>
      <c r="M29" s="63">
        <f>SUM(P18:P27)</f>
        <v>101.24999999999999</v>
      </c>
      <c r="N29" s="133">
        <f>M29/L29</f>
        <v>0.4017857142857143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251.99999999999997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22.679999999999996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274.67999999999995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28">
    <mergeCell ref="J31:K31"/>
    <mergeCell ref="J33:K33"/>
    <mergeCell ref="D27:F27"/>
    <mergeCell ref="D24:F24"/>
    <mergeCell ref="I24:J24"/>
    <mergeCell ref="J29:K29"/>
    <mergeCell ref="I18:J18"/>
    <mergeCell ref="D19:F19"/>
    <mergeCell ref="I19:J19"/>
    <mergeCell ref="I23:J23"/>
    <mergeCell ref="I20:J20"/>
    <mergeCell ref="D20:F20"/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</mergeCells>
  <conditionalFormatting sqref="C18">
    <cfRule type="duplicateValues" dxfId="95" priority="7"/>
  </conditionalFormatting>
  <conditionalFormatting sqref="C19 C21:C22">
    <cfRule type="duplicateValues" dxfId="94" priority="10"/>
  </conditionalFormatting>
  <conditionalFormatting sqref="C20">
    <cfRule type="duplicateValues" dxfId="93" priority="2"/>
  </conditionalFormatting>
  <conditionalFormatting sqref="C23">
    <cfRule type="duplicateValues" dxfId="92" priority="1"/>
  </conditionalFormatting>
  <conditionalFormatting sqref="C25">
    <cfRule type="duplicateValues" dxfId="91" priority="6"/>
  </conditionalFormatting>
  <conditionalFormatting sqref="C26">
    <cfRule type="duplicateValues" dxfId="90" priority="5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C000"/>
    <pageSetUpPr fitToPage="1"/>
  </sheetPr>
  <dimension ref="B1:V41"/>
  <sheetViews>
    <sheetView topLeftCell="A12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1187</v>
      </c>
      <c r="J10" s="24" t="s">
        <v>27</v>
      </c>
      <c r="K10" s="493">
        <v>202501228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>FOOD REPUBLIC PTE LTD                                  Serangoon Nex@JUICE BAR                    23, Serangoon Central #B2-63                      Singapore 550683</v>
      </c>
      <c r="G11" s="481"/>
      <c r="H11" s="482"/>
      <c r="J11" s="26" t="s">
        <v>9</v>
      </c>
      <c r="K11" s="495">
        <v>45667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4500322235</v>
      </c>
      <c r="L12" s="464"/>
      <c r="N12" s="19" t="s">
        <v>992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1184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>
        <v>520740</v>
      </c>
      <c r="C18" s="212" t="str">
        <f>VLOOKUP(B18,'Sales Master'!A$3:B$530,2,0)</f>
        <v>M1037A</v>
      </c>
      <c r="D18" s="461" t="str">
        <f>VLOOKUP(C18,'Sales Master'!B$3:D$530,2,)</f>
        <v>Rock Sugar Syrup 冰糖浆</v>
      </c>
      <c r="E18" s="461"/>
      <c r="F18" s="461"/>
      <c r="G18" s="76">
        <v>5</v>
      </c>
      <c r="H18" s="183" t="str">
        <f>VLOOKUP(C18,'Sales Master'!$B$3:$F$2413,5,0)</f>
        <v>5 KG</v>
      </c>
      <c r="I18" s="462" t="str">
        <f>VLOOKUP(C18,'Sales Master'!$B$3:$E$2413,4,0)</f>
        <v>DO!</v>
      </c>
      <c r="J18" s="462"/>
      <c r="K18" s="83">
        <f>VLOOKUP(C18,'Sales Master'!B$3:I$530,8,0)</f>
        <v>10.5</v>
      </c>
      <c r="L18" s="84">
        <f>K18*G18</f>
        <v>52.5</v>
      </c>
      <c r="N18" s="145">
        <f>VLOOKUP(C18,'Sales Master'!$B$3:$DA$2272,104,0)</f>
        <v>5.86</v>
      </c>
      <c r="O18" s="145">
        <f>K18-N18</f>
        <v>4.6399999999999997</v>
      </c>
      <c r="P18" s="145">
        <f>O18*G18</f>
        <v>23.2</v>
      </c>
      <c r="R18" s="170">
        <f>N18*G18*0.07</f>
        <v>2.0510000000000002</v>
      </c>
      <c r="S18" s="170">
        <f>N18*G18*0.08</f>
        <v>2.3440000000000003</v>
      </c>
      <c r="T18" s="93"/>
      <c r="U18" s="93"/>
      <c r="V18" s="93"/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104"/>
      <c r="C27" s="105"/>
      <c r="D27" s="454"/>
      <c r="E27" s="454"/>
      <c r="F27" s="45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52.5</v>
      </c>
      <c r="M29" s="63">
        <f>SUM(P18:P29)</f>
        <v>23.2</v>
      </c>
      <c r="N29" s="133">
        <f>M29/L29</f>
        <v>0.44190476190476191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52.5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4.7249999999999996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57.225000000000001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D21:F21"/>
    <mergeCell ref="I21:J21"/>
    <mergeCell ref="D17:F17"/>
    <mergeCell ref="D19:F19"/>
    <mergeCell ref="I19:J19"/>
    <mergeCell ref="D20:F20"/>
    <mergeCell ref="I20:J20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3:K33"/>
    <mergeCell ref="D27:F27"/>
    <mergeCell ref="J29:K29"/>
    <mergeCell ref="J31:K3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</mergeCells>
  <conditionalFormatting sqref="C18:C19">
    <cfRule type="duplicateValues" dxfId="89" priority="2"/>
  </conditionalFormatting>
  <conditionalFormatting sqref="C20:C21">
    <cfRule type="duplicateValues" dxfId="88" priority="2656"/>
  </conditionalFormatting>
  <conditionalFormatting sqref="C22">
    <cfRule type="duplicateValues" dxfId="87" priority="7"/>
  </conditionalFormatting>
  <conditionalFormatting sqref="C23">
    <cfRule type="duplicateValues" dxfId="86" priority="4"/>
  </conditionalFormatting>
  <conditionalFormatting sqref="C24">
    <cfRule type="duplicateValues" dxfId="85" priority="3"/>
  </conditionalFormatting>
  <conditionalFormatting sqref="C26">
    <cfRule type="duplicateValues" dxfId="84" priority="9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7030A0"/>
    <pageSetUpPr fitToPage="1"/>
  </sheetPr>
  <dimension ref="B1:V1048576"/>
  <sheetViews>
    <sheetView topLeftCell="A9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1192</v>
      </c>
      <c r="J10" s="24" t="s">
        <v>27</v>
      </c>
      <c r="K10" s="493">
        <v>202411027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ION Orchard @ Juice Bar No: #26               2, Orchard Turn #B4-03/04        Singapore 238801                                           </v>
      </c>
      <c r="G11" s="481"/>
      <c r="H11" s="482"/>
      <c r="J11" s="26" t="s">
        <v>9</v>
      </c>
      <c r="K11" s="511">
        <v>45597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1325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1307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1019</v>
      </c>
      <c r="D18" s="461" t="str">
        <f>VLOOKUP(C18,'Sales Master'!B$3:D$530,2,)</f>
        <v>Coconut Sugar 椰糖</v>
      </c>
      <c r="E18" s="461"/>
      <c r="F18" s="461"/>
      <c r="G18" s="76">
        <v>1</v>
      </c>
      <c r="H18" s="82" t="str">
        <f>VLOOKUP(C18,'Sales Master'!$B$3:$F$2413,5,0)</f>
        <v>10 KG/ ctn</v>
      </c>
      <c r="I18" s="446" t="str">
        <f>VLOOKUP(C18,'Sales Master'!$B$3:$E$2413,4,0)</f>
        <v>BL BRAND</v>
      </c>
      <c r="J18" s="446"/>
      <c r="K18" s="83">
        <f>VLOOKUP(C18,'Sales Master'!B$3:I$530,8,0)</f>
        <v>35</v>
      </c>
      <c r="L18" s="84">
        <f>K18*G18</f>
        <v>35</v>
      </c>
      <c r="N18" s="145">
        <f>VLOOKUP(C18,'Sales Master'!$B$3:$DA$2272,104,0)</f>
        <v>28</v>
      </c>
      <c r="O18" s="145">
        <f>K18-N18</f>
        <v>7</v>
      </c>
      <c r="P18" s="145">
        <f>O18*G18</f>
        <v>7</v>
      </c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 t="s">
        <v>1011</v>
      </c>
      <c r="D19" s="461" t="str">
        <f>VLOOKUP(C19,'Sales Master'!B$3:D$530,2,)</f>
        <v>Brown Sugar 黑糖</v>
      </c>
      <c r="E19" s="461"/>
      <c r="F19" s="461"/>
      <c r="G19" s="76">
        <v>1</v>
      </c>
      <c r="H19" s="82" t="str">
        <f>VLOOKUP(C19,'Sales Master'!$B$3:$F$2413,5,0)</f>
        <v>6 KG</v>
      </c>
      <c r="I19" s="446" t="str">
        <f>VLOOKUP(C19,'Sales Master'!$B$3:$E$2413,4,0)</f>
        <v>Star</v>
      </c>
      <c r="J19" s="446"/>
      <c r="K19" s="83">
        <f>VLOOKUP(C19,'Sales Master'!B$3:I$530,8,0)</f>
        <v>15.5</v>
      </c>
      <c r="L19" s="84">
        <f>K19*G19</f>
        <v>15.5</v>
      </c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6"/>
      <c r="J20" s="446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6"/>
      <c r="J21" s="446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6"/>
      <c r="J22" s="446"/>
      <c r="K22" s="83"/>
      <c r="L22" s="84"/>
      <c r="N22" s="145"/>
      <c r="O22" s="145"/>
      <c r="P22" s="145"/>
      <c r="Q22" s="170"/>
      <c r="R22" s="93">
        <v>1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454"/>
      <c r="E29" s="454"/>
      <c r="F29" s="45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50.5</v>
      </c>
      <c r="M31" s="63">
        <f>SUM(P18:P19)</f>
        <v>7</v>
      </c>
      <c r="N31" s="133">
        <f>M31/L31</f>
        <v>0.13861386138613863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50.5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4.5449999999999999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55.045000000000002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D1048576:F104857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</mergeCells>
  <conditionalFormatting sqref="C18">
    <cfRule type="duplicateValues" dxfId="83" priority="3"/>
  </conditionalFormatting>
  <conditionalFormatting sqref="C19">
    <cfRule type="duplicateValues" dxfId="82" priority="6"/>
  </conditionalFormatting>
  <conditionalFormatting sqref="C20">
    <cfRule type="duplicateValues" dxfId="81" priority="4"/>
  </conditionalFormatting>
  <conditionalFormatting sqref="C21">
    <cfRule type="duplicateValues" dxfId="80" priority="2"/>
  </conditionalFormatting>
  <conditionalFormatting sqref="C22">
    <cfRule type="duplicateValues" dxfId="79" priority="1"/>
  </conditionalFormatting>
  <conditionalFormatting sqref="C24">
    <cfRule type="duplicateValues" dxfId="78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41"/>
  <sheetViews>
    <sheetView topLeftCell="B9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17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124</v>
      </c>
      <c r="J10" s="24" t="s">
        <v>27</v>
      </c>
      <c r="K10" s="493">
        <v>202401052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10, Sinaran Drive #04-14 to 19,56 to 73. Novena Square 2 Singapore 307506                                             </v>
      </c>
      <c r="G11" s="481"/>
      <c r="H11" s="482"/>
      <c r="J11" s="26" t="s">
        <v>9</v>
      </c>
      <c r="K11" s="495">
        <v>45294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810</v>
      </c>
      <c r="D18" s="461" t="str">
        <f>VLOOKUP(C18,'Sales Master'!B$3:D$530,2,)</f>
        <v>Tapioca Flour 茨粉</v>
      </c>
      <c r="E18" s="461"/>
      <c r="F18" s="461"/>
      <c r="G18" s="17">
        <v>20</v>
      </c>
      <c r="H18" s="186" t="str">
        <f>VLOOKUP(C18,'Sales Master'!$B$3:$F$2413,5,0)</f>
        <v xml:space="preserve">500 GM/pkt </v>
      </c>
      <c r="I18" s="516" t="str">
        <f>VLOOKUP(C18,'Sales Master'!$B$3:$E$2413,4,0)</f>
        <v>F/man 飞人</v>
      </c>
      <c r="J18" s="516"/>
      <c r="K18" s="30">
        <f>VLOOKUP(C18,'Sales Master'!B$3:J$530,9,0)</f>
        <v>0.8</v>
      </c>
      <c r="L18" s="64">
        <f>K18*G18</f>
        <v>16</v>
      </c>
      <c r="M18" s="65"/>
      <c r="N18" s="145">
        <f>VLOOKUP(C18,'Sales Master'!$B$3:$DA$2272,104,0)</f>
        <v>0.62</v>
      </c>
      <c r="O18" s="145">
        <f>K18-N18</f>
        <v>0.18000000000000005</v>
      </c>
      <c r="P18" s="145">
        <f>O18*G18</f>
        <v>3.600000000000001</v>
      </c>
    </row>
    <row r="19" spans="2:16" ht="20.149999999999999" customHeight="1" x14ac:dyDescent="0.45">
      <c r="B19" s="29"/>
      <c r="C19" s="212" t="s">
        <v>990</v>
      </c>
      <c r="D19" s="461" t="str">
        <f>VLOOKUP(C19,'Sales Master'!B$3:D$530,2,)</f>
        <v>Coconut Milk 椰浆</v>
      </c>
      <c r="E19" s="461"/>
      <c r="F19" s="461"/>
      <c r="G19" s="17">
        <v>3</v>
      </c>
      <c r="H19" s="186" t="str">
        <f>VLOOKUP(C19,'Sales Master'!$B$3:$F$2413,5,0)</f>
        <v>(1L x 12bag)/箱</v>
      </c>
      <c r="I19" s="516" t="str">
        <f>VLOOKUP(C19,'Sales Master'!$B$3:$E$2413,4,0)</f>
        <v>Kara UHT</v>
      </c>
      <c r="J19" s="516"/>
      <c r="K19" s="30">
        <f>VLOOKUP(C19,'Sales Master'!B$3:J$530,9,0)</f>
        <v>42</v>
      </c>
      <c r="L19" s="64">
        <f>K19*G19</f>
        <v>126</v>
      </c>
      <c r="M19" s="65"/>
      <c r="N19" s="145">
        <f>VLOOKUP(C19,'Sales Master'!$B$3:$DA$2272,104,0)</f>
        <v>35.799999999999997</v>
      </c>
      <c r="O19" s="145">
        <f>K19-N19</f>
        <v>6.2000000000000028</v>
      </c>
      <c r="P19" s="145">
        <f>O19*G19</f>
        <v>18.600000000000009</v>
      </c>
    </row>
    <row r="20" spans="2:16" ht="20.149999999999999" customHeight="1" x14ac:dyDescent="0.45">
      <c r="B20" s="29"/>
      <c r="C20" s="17"/>
      <c r="G20" s="17"/>
      <c r="H20" s="56"/>
      <c r="I20" s="56"/>
      <c r="J20" s="5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G21" s="17"/>
      <c r="H21" s="56"/>
      <c r="I21" s="56"/>
      <c r="J21" s="5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SUM(L17:L26)</f>
        <v>142</v>
      </c>
      <c r="M29" s="63">
        <f>SUM(P18:P27)</f>
        <v>22.20000000000001</v>
      </c>
      <c r="N29" s="133">
        <f>M29/L29</f>
        <v>0.15633802816901415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142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12.78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154.78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2">
    <mergeCell ref="J31:K31"/>
    <mergeCell ref="J33:K33"/>
    <mergeCell ref="D26:F26"/>
    <mergeCell ref="I26:J26"/>
    <mergeCell ref="D27:F27"/>
    <mergeCell ref="I27:J27"/>
    <mergeCell ref="D23:F23"/>
    <mergeCell ref="I23:J23"/>
    <mergeCell ref="D25:F25"/>
    <mergeCell ref="I25:J25"/>
    <mergeCell ref="J29:K29"/>
    <mergeCell ref="D19:F19"/>
    <mergeCell ref="I19:J19"/>
    <mergeCell ref="D22:F22"/>
    <mergeCell ref="I22:J22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7030A0"/>
    <pageSetUpPr fitToPage="1"/>
  </sheetPr>
  <dimension ref="B1:V44"/>
  <sheetViews>
    <sheetView topLeftCell="B4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1193</v>
      </c>
      <c r="J10" s="24" t="s">
        <v>27</v>
      </c>
      <c r="K10" s="493">
        <v>202303318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Shaw Lido Orchard@ Juice Bar No 7                     1, Scotts Road #B1-01 Shaw Centre        Singapore 228208                                 </v>
      </c>
      <c r="G11" s="481"/>
      <c r="H11" s="482"/>
      <c r="J11" s="26" t="s">
        <v>9</v>
      </c>
      <c r="K11" s="511">
        <v>45000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1325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17" t="s">
        <v>1034</v>
      </c>
      <c r="D18" s="461" t="str">
        <f>VLOOKUP(C18,'Sales Master'!B$3:D$530,2,)</f>
        <v>Lime 酸甘</v>
      </c>
      <c r="E18" s="461"/>
      <c r="F18" s="461"/>
      <c r="G18" s="76">
        <v>0.5</v>
      </c>
      <c r="H18" s="82" t="str">
        <f>VLOOKUP(C18,'Sales Master'!$B$3:$F$2413,5,0)</f>
        <v>1 KG</v>
      </c>
      <c r="I18" s="446" t="str">
        <f>VLOOKUP(C18,'Sales Master'!$B$3:$E$2413,4,0)</f>
        <v>-</v>
      </c>
      <c r="J18" s="446"/>
      <c r="K18" s="83">
        <f>VLOOKUP(C18,'Sales Master'!B$3:I$530,8,0)</f>
        <v>2.8</v>
      </c>
      <c r="L18" s="84">
        <f>K18*G18</f>
        <v>1.4</v>
      </c>
      <c r="N18" s="145">
        <f>VLOOKUP(C18,'Sales Master'!$B$3:$DA$2272,104,0)</f>
        <v>1.8</v>
      </c>
      <c r="O18" s="145">
        <f>K18-N18</f>
        <v>0.99999999999999978</v>
      </c>
      <c r="P18" s="145">
        <f>O18*G18</f>
        <v>0.49999999999999989</v>
      </c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17" t="s">
        <v>1040</v>
      </c>
      <c r="D19" s="461" t="str">
        <f>VLOOKUP(C19,'Sales Master'!B$3:D$530,2,)</f>
        <v>Butterfly Peas 兰花</v>
      </c>
      <c r="E19" s="461"/>
      <c r="F19" s="461"/>
      <c r="G19" s="76">
        <v>1</v>
      </c>
      <c r="H19" s="82" t="str">
        <f>VLOOKUP(C19,'Sales Master'!$B$3:$F$2413,5,0)</f>
        <v>50 GM</v>
      </c>
      <c r="I19" s="446" t="str">
        <f>VLOOKUP(C19,'Sales Master'!$B$3:$E$2413,4,0)</f>
        <v>-</v>
      </c>
      <c r="J19" s="446"/>
      <c r="K19" s="83">
        <f>VLOOKUP(C19,'Sales Master'!B$3:I$530,8,0)</f>
        <v>15</v>
      </c>
      <c r="L19" s="84">
        <f>K19*G19</f>
        <v>15</v>
      </c>
      <c r="N19" s="145">
        <f>VLOOKUP(C19,'Sales Master'!$B$3:$DA$2272,104,0)</f>
        <v>3.6</v>
      </c>
      <c r="O19" s="145">
        <f>K19-N19</f>
        <v>11.4</v>
      </c>
      <c r="P19" s="145">
        <f>O19*G19</f>
        <v>11.4</v>
      </c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 t="s">
        <v>1307</v>
      </c>
      <c r="D20" s="461" t="str">
        <f>VLOOKUP(C20,'Sales Master'!B$3:D$530,2,)</f>
        <v>Pumpkin Gourd 金瓜</v>
      </c>
      <c r="E20" s="461"/>
      <c r="F20" s="461"/>
      <c r="G20" s="76">
        <v>1.4</v>
      </c>
      <c r="H20" s="82" t="str">
        <f>VLOOKUP(C20,'Sales Master'!$B$3:$F$2413,5,0)</f>
        <v>1 KG</v>
      </c>
      <c r="I20" s="446" t="str">
        <f>VLOOKUP(C20,'Sales Master'!$B$3:$E$2413,4,0)</f>
        <v>-</v>
      </c>
      <c r="J20" s="446"/>
      <c r="K20" s="83">
        <f>VLOOKUP(C20,'Sales Master'!B$3:I$530,8,0)</f>
        <v>2.5</v>
      </c>
      <c r="L20" s="84">
        <f>K20*G20</f>
        <v>3.5</v>
      </c>
      <c r="N20" s="145">
        <f>VLOOKUP(C20,'Sales Master'!$B$3:$DA$2272,104,0)</f>
        <v>1.6</v>
      </c>
      <c r="O20" s="145">
        <f>K20-N20</f>
        <v>0.89999999999999991</v>
      </c>
      <c r="P20" s="145">
        <f>O20*G20</f>
        <v>1.2599999999999998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19.899999999999999</v>
      </c>
      <c r="M32" s="63">
        <f>SUM(P18:P19)</f>
        <v>11.9</v>
      </c>
      <c r="N32" s="133">
        <f>M32/L32</f>
        <v>0.59798994974874375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19.899999999999999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1.7909999999999997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21.690999999999999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7" priority="3"/>
  </conditionalFormatting>
  <conditionalFormatting sqref="C19">
    <cfRule type="duplicateValues" dxfId="76" priority="6"/>
  </conditionalFormatting>
  <conditionalFormatting sqref="C20">
    <cfRule type="duplicateValues" dxfId="75" priority="4"/>
  </conditionalFormatting>
  <conditionalFormatting sqref="C21">
    <cfRule type="duplicateValues" dxfId="74" priority="5"/>
  </conditionalFormatting>
  <conditionalFormatting sqref="C22">
    <cfRule type="duplicateValues" dxfId="73" priority="2"/>
  </conditionalFormatting>
  <conditionalFormatting sqref="C23">
    <cfRule type="duplicateValues" dxfId="72" priority="1"/>
  </conditionalFormatting>
  <conditionalFormatting sqref="C25">
    <cfRule type="duplicateValues" dxfId="71" priority="7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C000"/>
    <pageSetUpPr fitToPage="1"/>
  </sheetPr>
  <dimension ref="B1:V1048505"/>
  <sheetViews>
    <sheetView topLeftCell="B26" zoomScaleNormal="100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1194</v>
      </c>
      <c r="J10" s="24" t="s">
        <v>27</v>
      </c>
      <c r="K10" s="493">
        <v>202501049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Shaw Lido Orchard@ICE shop                    1, Scotts Road #B1-01 Shaw Centre        Singapore 228208                                 </v>
      </c>
      <c r="G11" s="481"/>
      <c r="H11" s="482"/>
      <c r="J11" s="26" t="s">
        <v>9</v>
      </c>
      <c r="K11" s="511">
        <v>45660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722</v>
      </c>
      <c r="D18" s="461" t="str">
        <f>VLOOKUP(C18,'Sales Master'!B$3:D$530,2,)</f>
        <v xml:space="preserve">Fresh Soursop 红毛榴莲 </v>
      </c>
      <c r="E18" s="461"/>
      <c r="F18" s="461"/>
      <c r="G18" s="76">
        <v>1</v>
      </c>
      <c r="H18" s="183" t="str">
        <f>VLOOKUP(C18,'Sales Master'!$B$3:$F$2413,5,0)</f>
        <v>GW:5 KG/ Tub桶</v>
      </c>
      <c r="I18" s="462" t="str">
        <f>VLOOKUP(C18,'Sales Master'!$B$3:$E$2413,4,0)</f>
        <v>DO!</v>
      </c>
      <c r="J18" s="462"/>
      <c r="K18" s="83">
        <f>VLOOKUP(C18,'Sales Master'!B$3:I$530,8,0)</f>
        <v>34</v>
      </c>
      <c r="L18" s="84">
        <f>K18*G18</f>
        <v>34</v>
      </c>
      <c r="N18" s="19" t="s">
        <v>1325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 t="s">
        <v>1184</v>
      </c>
      <c r="D19" s="461" t="str">
        <f>VLOOKUP(C19,'Sales Master'!B$3:D$530,2,)</f>
        <v>Dried Roselle 洛神花</v>
      </c>
      <c r="E19" s="461"/>
      <c r="F19" s="461"/>
      <c r="G19" s="76">
        <v>1</v>
      </c>
      <c r="H19" s="183" t="str">
        <f>VLOOKUP(C19,'Sales Master'!$B$3:$F$2413,5,0)</f>
        <v>1 KG</v>
      </c>
      <c r="I19" s="462" t="str">
        <f>VLOOKUP(C19,'Sales Master'!$B$3:$E$2413,4,0)</f>
        <v>China</v>
      </c>
      <c r="J19" s="462"/>
      <c r="K19" s="83">
        <f>VLOOKUP(C19,'Sales Master'!B$3:I$530,8,0)</f>
        <v>22</v>
      </c>
      <c r="L19" s="84">
        <f>K19*G19</f>
        <v>22</v>
      </c>
    </row>
    <row r="20" spans="2:22" ht="20.149999999999999" customHeight="1" x14ac:dyDescent="0.45">
      <c r="B20" s="29"/>
      <c r="C20" s="212" t="s">
        <v>1528</v>
      </c>
      <c r="D20" s="498" t="str">
        <f>VLOOKUP(C20,'Sales Master'!B$3:D$530,2,)</f>
        <v>Skinless Sweet Potato 去皮番薯</v>
      </c>
      <c r="E20" s="498"/>
      <c r="F20" s="498"/>
      <c r="G20" s="76">
        <v>2</v>
      </c>
      <c r="H20" s="183" t="str">
        <f>VLOOKUP(C20,'Sales Master'!$B$3:$F$2413,5,0)</f>
        <v>5 KG</v>
      </c>
      <c r="I20" s="462" t="str">
        <f>VLOOKUP(C20,'Sales Master'!$B$3:$E$2413,4,0)</f>
        <v>Malaysia</v>
      </c>
      <c r="J20" s="462"/>
      <c r="K20" s="83">
        <f>VLOOKUP(C20,'Sales Master'!B$3:I$530,8,0)</f>
        <v>16.5</v>
      </c>
      <c r="L20" s="84">
        <f>K20*G20</f>
        <v>33</v>
      </c>
    </row>
    <row r="21" spans="2:22" ht="20.149999999999999" customHeight="1" x14ac:dyDescent="0.45">
      <c r="B21" s="29"/>
      <c r="C21" s="212" t="s">
        <v>1031</v>
      </c>
      <c r="D21" s="461" t="str">
        <f>VLOOKUP(C21,'Sales Master'!B$3:D$530,2,)</f>
        <v>Yam 芋头</v>
      </c>
      <c r="E21" s="461"/>
      <c r="F21" s="461"/>
      <c r="G21" s="76">
        <v>3</v>
      </c>
      <c r="H21" s="183" t="str">
        <f>VLOOKUP(C21,'Sales Master'!$B$3:$F$2413,5,0)</f>
        <v>1 KG</v>
      </c>
      <c r="I21" s="462" t="str">
        <f>VLOOKUP(C21,'Sales Master'!$B$3:$E$2413,4,0)</f>
        <v>Malaysia</v>
      </c>
      <c r="J21" s="462"/>
      <c r="K21" s="83">
        <f>VLOOKUP(C21,'Sales Master'!B$3:I$530,8,0)</f>
        <v>4</v>
      </c>
      <c r="L21" s="84">
        <f>K21*G21</f>
        <v>12</v>
      </c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 t="s">
        <v>1299</v>
      </c>
      <c r="D22" s="461" t="str">
        <f>VLOOKUP(C22,'Sales Master'!B$3:D$530,2,)</f>
        <v>Rock Sugar Syrup 冰糖浆</v>
      </c>
      <c r="E22" s="461"/>
      <c r="F22" s="461"/>
      <c r="G22" s="76">
        <v>10</v>
      </c>
      <c r="H22" s="183" t="str">
        <f>VLOOKUP(C22,'Sales Master'!$B$3:$F$2413,5,0)</f>
        <v>5 KG</v>
      </c>
      <c r="I22" s="462" t="str">
        <f>VLOOKUP(C22,'Sales Master'!$B$3:$E$2413,4,0)</f>
        <v>DO!</v>
      </c>
      <c r="J22" s="462"/>
      <c r="K22" s="83">
        <f>VLOOKUP(C22,'Sales Master'!B$3:I$530,8,0)</f>
        <v>10.5</v>
      </c>
      <c r="L22" s="84">
        <f>K22*G22</f>
        <v>105</v>
      </c>
    </row>
    <row r="23" spans="2:22" ht="20.149999999999999" customHeight="1" x14ac:dyDescent="0.45">
      <c r="B23" s="29"/>
      <c r="C23" s="212" t="s">
        <v>1031</v>
      </c>
      <c r="D23" s="461" t="str">
        <f>VLOOKUP(C23,'Sales Master'!B$3:D$530,2,)</f>
        <v>Yam 芋头</v>
      </c>
      <c r="E23" s="461"/>
      <c r="F23" s="461"/>
      <c r="G23" s="76">
        <v>1.1000000000000001</v>
      </c>
      <c r="H23" s="183" t="str">
        <f>VLOOKUP(C23,'Sales Master'!$B$3:$F$2413,5,0)</f>
        <v>1 KG</v>
      </c>
      <c r="I23" s="462" t="str">
        <f>VLOOKUP(C23,'Sales Master'!$B$3:$E$2413,4,0)</f>
        <v>Malaysia</v>
      </c>
      <c r="J23" s="462"/>
      <c r="K23" s="572" t="s">
        <v>2267</v>
      </c>
      <c r="L23" s="57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462"/>
      <c r="J24" s="462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462"/>
      <c r="J25" s="462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462"/>
      <c r="J26" s="462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183"/>
      <c r="I27" s="462"/>
      <c r="J27" s="462"/>
      <c r="K27" s="83"/>
      <c r="L27" s="84"/>
      <c r="Q27" s="170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183"/>
      <c r="I28" s="462"/>
      <c r="J28" s="462"/>
      <c r="K28" s="83"/>
      <c r="L28" s="84"/>
      <c r="N28" s="145"/>
      <c r="O28" s="145"/>
      <c r="P28" s="145"/>
    </row>
    <row r="29" spans="2:22" ht="20.149999999999999" customHeight="1" x14ac:dyDescent="0.45">
      <c r="B29" s="29"/>
      <c r="C29" s="17"/>
      <c r="D29" s="461"/>
      <c r="E29" s="461"/>
      <c r="F29" s="461"/>
      <c r="G29" s="76"/>
      <c r="H29" s="183"/>
      <c r="I29" s="462"/>
      <c r="J29" s="462"/>
      <c r="K29" s="83"/>
      <c r="L29" s="84"/>
    </row>
    <row r="30" spans="2:22" ht="20.149999999999999" customHeight="1" x14ac:dyDescent="0.45">
      <c r="B30" s="29"/>
      <c r="C30" s="17"/>
      <c r="D30" s="461"/>
      <c r="E30" s="461"/>
      <c r="F30" s="461"/>
      <c r="G30" s="76"/>
      <c r="H30" s="183"/>
      <c r="I30" s="462"/>
      <c r="J30" s="462"/>
      <c r="K30" s="83"/>
      <c r="L30" s="84"/>
    </row>
    <row r="31" spans="2:22" ht="20.149999999999999" customHeight="1" x14ac:dyDescent="0.45">
      <c r="B31" s="29"/>
      <c r="C31" s="17"/>
      <c r="D31" s="461"/>
      <c r="E31" s="461"/>
      <c r="F31" s="461"/>
      <c r="G31" s="76"/>
      <c r="H31" s="183"/>
      <c r="I31" s="462"/>
      <c r="J31" s="462"/>
      <c r="K31" s="83"/>
      <c r="L31" s="84"/>
    </row>
    <row r="32" spans="2:22" ht="20.149999999999999" customHeight="1" x14ac:dyDescent="0.45">
      <c r="B32" s="104"/>
      <c r="C32" s="105"/>
      <c r="D32" s="454"/>
      <c r="E32" s="454"/>
      <c r="F32" s="454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D33" s="461"/>
      <c r="E33" s="461"/>
      <c r="F33" s="461"/>
      <c r="L33" s="37"/>
    </row>
    <row r="34" spans="2:14" ht="20.149999999999999" customHeight="1" x14ac:dyDescent="0.45">
      <c r="B34" s="10" t="s">
        <v>16</v>
      </c>
      <c r="C34" s="6"/>
      <c r="G34" s="6"/>
      <c r="H34" s="6"/>
      <c r="I34" s="6"/>
      <c r="J34" s="455" t="s">
        <v>13</v>
      </c>
      <c r="K34" s="456"/>
      <c r="L34" s="38">
        <f>SUM(L18:L33)</f>
        <v>206</v>
      </c>
      <c r="M34" s="63">
        <f>SUM(P18:P32)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461"/>
      <c r="E35" s="461"/>
      <c r="F35" s="461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G36" s="6"/>
      <c r="H36" s="6"/>
      <c r="I36" s="6"/>
      <c r="J36" s="457" t="s">
        <v>19</v>
      </c>
      <c r="K36" s="458"/>
      <c r="L36" s="41">
        <f>L34-L35</f>
        <v>206</v>
      </c>
    </row>
    <row r="37" spans="2:14" ht="20.149999999999999" customHeight="1" x14ac:dyDescent="0.45">
      <c r="B37" s="10" t="s">
        <v>22</v>
      </c>
      <c r="C37" s="6"/>
      <c r="D37" s="454"/>
      <c r="E37" s="454"/>
      <c r="F37" s="454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18.54</v>
      </c>
    </row>
    <row r="38" spans="2:14" ht="20.149999999999999" customHeight="1" thickBot="1" x14ac:dyDescent="0.5">
      <c r="B38" s="10" t="s">
        <v>700</v>
      </c>
      <c r="C38" s="6"/>
      <c r="G38" s="6"/>
      <c r="H38" s="6"/>
      <c r="I38" s="6"/>
      <c r="J38" s="459" t="s">
        <v>21</v>
      </c>
      <c r="K38" s="460"/>
      <c r="L38" s="43">
        <f>L36+L37</f>
        <v>224.54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D40" s="6"/>
      <c r="E40" s="6"/>
      <c r="F40" s="6"/>
      <c r="L40" s="37"/>
    </row>
    <row r="41" spans="2:14" ht="20.149999999999999" customHeight="1" x14ac:dyDescent="0.45">
      <c r="B41" s="36"/>
      <c r="D41" s="6"/>
      <c r="E41" s="6"/>
      <c r="F41" s="6"/>
      <c r="L41" s="37"/>
    </row>
    <row r="42" spans="2:14" ht="20.149999999999999" customHeight="1" x14ac:dyDescent="0.45">
      <c r="B42" s="36"/>
      <c r="D42" s="6"/>
      <c r="E42" s="6"/>
      <c r="F42" s="6"/>
      <c r="L42" s="37"/>
    </row>
    <row r="43" spans="2:14" ht="20.149999999999999" customHeight="1" x14ac:dyDescent="0.45">
      <c r="B43" s="36"/>
      <c r="D43" s="6"/>
      <c r="E43" s="6"/>
      <c r="F43" s="6"/>
      <c r="L43" s="37"/>
    </row>
    <row r="44" spans="2:14" ht="20.149999999999999" customHeight="1" x14ac:dyDescent="0.45">
      <c r="B44" s="44"/>
      <c r="C44" s="45"/>
      <c r="D44" s="6"/>
      <c r="E44" s="6"/>
      <c r="F44" s="6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9" spans="4:6" x14ac:dyDescent="0.45">
      <c r="D49" s="45"/>
    </row>
    <row r="51" spans="4:6" ht="19" thickBot="1" x14ac:dyDescent="0.5">
      <c r="D51" s="48"/>
      <c r="E51" s="48"/>
      <c r="F51" s="48"/>
    </row>
    <row r="1048505" spans="4:6" x14ac:dyDescent="0.45">
      <c r="D1048505" s="461"/>
      <c r="E1048505" s="461"/>
      <c r="F1048505" s="461"/>
    </row>
  </sheetData>
  <mergeCells count="52">
    <mergeCell ref="I18:J18"/>
    <mergeCell ref="D17:F17"/>
    <mergeCell ref="D23:F23"/>
    <mergeCell ref="I20:J20"/>
    <mergeCell ref="I21:J21"/>
    <mergeCell ref="D20:F20"/>
    <mergeCell ref="D21:F21"/>
    <mergeCell ref="I17:J17"/>
    <mergeCell ref="I23:J23"/>
    <mergeCell ref="J38:K38"/>
    <mergeCell ref="D37:F37"/>
    <mergeCell ref="J34:K34"/>
    <mergeCell ref="J36:K36"/>
    <mergeCell ref="D19:F19"/>
    <mergeCell ref="I19:J19"/>
    <mergeCell ref="D35:F35"/>
    <mergeCell ref="I28:J28"/>
    <mergeCell ref="D32:F32"/>
    <mergeCell ref="D33:F33"/>
    <mergeCell ref="D22:F22"/>
    <mergeCell ref="I22:J22"/>
    <mergeCell ref="I24:J24"/>
    <mergeCell ref="I25:J25"/>
    <mergeCell ref="D24:F24"/>
    <mergeCell ref="D25:F25"/>
    <mergeCell ref="D26:F26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D30:F30"/>
    <mergeCell ref="D1048505:F1048505"/>
    <mergeCell ref="D27:F27"/>
    <mergeCell ref="D29:F29"/>
    <mergeCell ref="D31:F31"/>
    <mergeCell ref="K23:L23"/>
    <mergeCell ref="I30:J30"/>
    <mergeCell ref="I31:J31"/>
    <mergeCell ref="I26:J26"/>
    <mergeCell ref="I27:J27"/>
    <mergeCell ref="I29:J29"/>
  </mergeCells>
  <conditionalFormatting sqref="C18">
    <cfRule type="duplicateValues" dxfId="70" priority="3"/>
  </conditionalFormatting>
  <conditionalFormatting sqref="C28 C19:C22 C24:C25">
    <cfRule type="duplicateValues" dxfId="69" priority="231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3B4-8ADB-47C9-B208-1474F6F6BD36}">
  <sheetPr>
    <tabColor rgb="FF7030A0"/>
    <pageSetUpPr fitToPage="1"/>
  </sheetPr>
  <dimension ref="B1:V44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1195</v>
      </c>
      <c r="J10" s="24" t="s">
        <v>27</v>
      </c>
      <c r="K10" s="493">
        <v>202411195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Wisma Atria Orchard@Juice Bar.          435 Orchard Road #04-02                Wisma Atria, Singapore 238877                           </v>
      </c>
      <c r="G11" s="481"/>
      <c r="H11" s="482"/>
      <c r="J11" s="26" t="s">
        <v>9</v>
      </c>
      <c r="K11" s="495">
        <v>45604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180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722</v>
      </c>
      <c r="D18" s="461" t="str">
        <f>VLOOKUP(C18,'Sales Master'!B$3:D$530,2,)</f>
        <v xml:space="preserve">Fresh Soursop 红毛榴莲 </v>
      </c>
      <c r="E18" s="461"/>
      <c r="F18" s="461"/>
      <c r="G18" s="76">
        <v>2</v>
      </c>
      <c r="H18" s="183" t="str">
        <f>VLOOKUP(C18,'Sales Master'!$B$3:$F$2413,5,0)</f>
        <v>GW:5 KG/ Tub桶</v>
      </c>
      <c r="I18" s="462" t="str">
        <f>VLOOKUP(C18,'Sales Master'!$B$3:$E$2413,4,0)</f>
        <v>DO!</v>
      </c>
      <c r="J18" s="462"/>
      <c r="K18" s="83">
        <f>VLOOKUP(C18,'Sales Master'!B$3:I$530,8,0)</f>
        <v>34</v>
      </c>
      <c r="L18" s="84">
        <f>K18*G18</f>
        <v>68</v>
      </c>
      <c r="N18" s="145">
        <f>VLOOKUP(C18,'Sales Master'!$B$3:$DA$2272,104,0)</f>
        <v>25.63</v>
      </c>
      <c r="O18" s="145">
        <f>K18-N18</f>
        <v>8.370000000000001</v>
      </c>
      <c r="P18" s="145">
        <f>O18*G18</f>
        <v>16.740000000000002</v>
      </c>
      <c r="Q18" s="181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6"/>
      <c r="J20" s="446"/>
      <c r="K20" s="83"/>
      <c r="L20" s="96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8" t="s">
        <v>1244</v>
      </c>
      <c r="D27" s="18"/>
      <c r="E27" s="18"/>
      <c r="F27" s="18"/>
      <c r="G27" s="18"/>
      <c r="H27" s="56"/>
      <c r="I27" s="56"/>
      <c r="J27" s="56"/>
      <c r="K27" s="150"/>
      <c r="L27" s="31"/>
    </row>
    <row r="28" spans="2:22" ht="20.149999999999999" customHeight="1" x14ac:dyDescent="0.45">
      <c r="B28" s="29"/>
      <c r="C28" s="147" t="s">
        <v>2217</v>
      </c>
      <c r="G28" s="76"/>
      <c r="H28" s="56"/>
      <c r="I28" s="85"/>
      <c r="J28" s="85"/>
      <c r="K28" s="15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68</v>
      </c>
      <c r="M32" s="179">
        <f>SUM(P18:P30)</f>
        <v>16.740000000000002</v>
      </c>
      <c r="N32" s="133">
        <f>M32/L32</f>
        <v>0.24617647058823533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68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6.12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74.12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FFCC66"/>
    <pageSetUpPr fitToPage="1"/>
  </sheetPr>
  <dimension ref="B1:V42"/>
  <sheetViews>
    <sheetView topLeftCell="A20" zoomScaleNormal="100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7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7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7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7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7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7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7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1196</v>
      </c>
      <c r="J10" s="24" t="s">
        <v>27</v>
      </c>
      <c r="K10" s="493">
        <v>202501137</v>
      </c>
      <c r="L10" s="494"/>
    </row>
    <row r="11" spans="2:17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Vivo City @Juice Bar #20                              1, Harbourfront Walk #03-01, VivoCity   Singapore 098585                           </v>
      </c>
      <c r="G11" s="481"/>
      <c r="H11" s="482"/>
      <c r="J11" s="26" t="s">
        <v>9</v>
      </c>
      <c r="K11" s="495">
        <v>45664</v>
      </c>
      <c r="L11" s="496"/>
    </row>
    <row r="12" spans="2:17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4500320173</v>
      </c>
      <c r="L12" s="464"/>
    </row>
    <row r="13" spans="2:17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7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916</v>
      </c>
    </row>
    <row r="15" spans="2:17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7" t="s">
        <v>1184</v>
      </c>
      <c r="O15" s="461" t="e">
        <f>VLOOKUP(N15,'Sales Master'!M$3:O$530,2,)</f>
        <v>#N/A</v>
      </c>
      <c r="P15" s="461"/>
      <c r="Q15" s="461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417"/>
      <c r="O17" s="417"/>
      <c r="P17" s="417"/>
    </row>
    <row r="18" spans="2:22" ht="20.149999999999999" customHeight="1" x14ac:dyDescent="0.45">
      <c r="B18" s="58">
        <v>520718</v>
      </c>
      <c r="C18" s="212" t="str">
        <f>VLOOKUP(B18,'Sales Master'!A$3:B$530,2,0)</f>
        <v>M1001A</v>
      </c>
      <c r="D18" s="461" t="str">
        <f>VLOOKUP(C18,'Sales Master'!B$3:D$530,2,)</f>
        <v xml:space="preserve">Fresh Soursop 红毛榴莲 </v>
      </c>
      <c r="E18" s="461"/>
      <c r="F18" s="461"/>
      <c r="G18" s="76">
        <v>1</v>
      </c>
      <c r="H18" s="183" t="str">
        <f>VLOOKUP(C18,'Sales Master'!$B$3:$F$2413,5,0)</f>
        <v>GW:5 KG/ Tub桶</v>
      </c>
      <c r="I18" s="462" t="str">
        <f>VLOOKUP(C18,'Sales Master'!$B$3:$E$2413,4,0)</f>
        <v>DO!</v>
      </c>
      <c r="J18" s="462"/>
      <c r="K18" s="83">
        <f>VLOOKUP(C18,'Sales Master'!B$3:I$530,8,0)</f>
        <v>34</v>
      </c>
      <c r="L18" s="84">
        <f>K18*G18</f>
        <v>34</v>
      </c>
      <c r="N18" s="418"/>
      <c r="O18" s="418"/>
      <c r="P18" s="418"/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>
        <v>520740</v>
      </c>
      <c r="C19" s="212" t="str">
        <f>VLOOKUP(B19,'Sales Master'!A$3:B$530,2,0)</f>
        <v>M1037A</v>
      </c>
      <c r="D19" s="461" t="str">
        <f>VLOOKUP(C19,'Sales Master'!B$3:D$530,2,)</f>
        <v>Rock Sugar Syrup 冰糖浆</v>
      </c>
      <c r="E19" s="461"/>
      <c r="F19" s="461"/>
      <c r="G19" s="76">
        <v>15</v>
      </c>
      <c r="H19" s="183" t="str">
        <f>VLOOKUP(C19,'Sales Master'!$B$3:$F$2413,5,0)</f>
        <v>5 KG</v>
      </c>
      <c r="I19" s="462" t="str">
        <f>VLOOKUP(C19,'Sales Master'!$B$3:$E$2413,4,0)</f>
        <v>DO!</v>
      </c>
      <c r="J19" s="462"/>
      <c r="K19" s="83">
        <f>VLOOKUP(C19,'Sales Master'!B$3:I$530,8,0)</f>
        <v>10.5</v>
      </c>
      <c r="L19" s="84">
        <f t="shared" ref="L19" si="0">K19*G19</f>
        <v>157.5</v>
      </c>
      <c r="N19" s="145"/>
      <c r="O19" s="145"/>
      <c r="P19" s="145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  <c r="Q22" s="170"/>
      <c r="R22" s="93"/>
      <c r="S22" s="93"/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462"/>
      <c r="J23" s="462"/>
      <c r="K23" s="83"/>
      <c r="L23" s="84"/>
      <c r="N23" s="145"/>
      <c r="O23" s="145"/>
      <c r="P23" s="145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104"/>
      <c r="C27" s="105"/>
      <c r="D27" s="454"/>
      <c r="E27" s="454"/>
      <c r="F27" s="45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191.5</v>
      </c>
      <c r="M29" s="63"/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191.5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17.234999999999999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208.73500000000001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20.5" x14ac:dyDescent="0.45">
      <c r="F42" s="202"/>
    </row>
  </sheetData>
  <mergeCells count="38">
    <mergeCell ref="O15:Q15"/>
    <mergeCell ref="D19:F19"/>
    <mergeCell ref="I19:J19"/>
    <mergeCell ref="D26:F26"/>
    <mergeCell ref="I26:J26"/>
    <mergeCell ref="I17:J17"/>
    <mergeCell ref="D22:F22"/>
    <mergeCell ref="I22:J22"/>
    <mergeCell ref="D18:F18"/>
    <mergeCell ref="I18:J18"/>
    <mergeCell ref="D17:F17"/>
    <mergeCell ref="D23:F23"/>
    <mergeCell ref="D20:F20"/>
    <mergeCell ref="I23:J23"/>
    <mergeCell ref="I20:J20"/>
    <mergeCell ref="D21:F21"/>
    <mergeCell ref="J33:K33"/>
    <mergeCell ref="D27:F27"/>
    <mergeCell ref="J29:K29"/>
    <mergeCell ref="J31:K31"/>
    <mergeCell ref="D24:F24"/>
    <mergeCell ref="I24:J24"/>
    <mergeCell ref="D25:F25"/>
    <mergeCell ref="I25:J25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68" priority="5"/>
  </conditionalFormatting>
  <conditionalFormatting sqref="C22">
    <cfRule type="duplicateValues" dxfId="67" priority="8"/>
  </conditionalFormatting>
  <conditionalFormatting sqref="C23 C20:C21">
    <cfRule type="duplicateValues" dxfId="66" priority="2537"/>
  </conditionalFormatting>
  <conditionalFormatting sqref="C24">
    <cfRule type="duplicateValues" dxfId="65" priority="4"/>
  </conditionalFormatting>
  <conditionalFormatting sqref="C25">
    <cfRule type="duplicateValues" dxfId="64" priority="3"/>
  </conditionalFormatting>
  <conditionalFormatting sqref="N15">
    <cfRule type="duplicateValues" dxfId="63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C000"/>
    <pageSetUpPr fitToPage="1"/>
  </sheetPr>
  <dimension ref="B1:V39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1197</v>
      </c>
      <c r="J10" s="24" t="s">
        <v>27</v>
      </c>
      <c r="K10" s="493">
        <v>202501045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Causeway Point @Juice Bar, Woodlands Square #04-01 Causeway Point Singapore 738099                                                        </v>
      </c>
      <c r="G11" s="481"/>
      <c r="H11" s="482"/>
      <c r="J11" s="26" t="s">
        <v>9</v>
      </c>
      <c r="K11" s="495">
        <v>45659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916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722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916</v>
      </c>
      <c r="D18" s="461" t="str">
        <f>VLOOKUP(C18,'Sales Master'!B$3:D$530,2,)</f>
        <v>Sour Plum 酸梅(无子)</v>
      </c>
      <c r="E18" s="461"/>
      <c r="F18" s="461"/>
      <c r="G18" s="76">
        <v>1</v>
      </c>
      <c r="H18" s="183" t="str">
        <f>VLOOKUP(C18,'Sales Master'!$B$3:$F$2413,5,0)</f>
        <v>1 kg</v>
      </c>
      <c r="I18" s="462" t="str">
        <f>VLOOKUP(C18,'Sales Master'!$B$3:$E$2413,4,0)</f>
        <v>-</v>
      </c>
      <c r="J18" s="462"/>
      <c r="K18" s="83">
        <f>VLOOKUP(C18,'Sales Master'!B$3:I$530,8,0)</f>
        <v>19</v>
      </c>
      <c r="L18" s="84">
        <f>K18*G18</f>
        <v>19</v>
      </c>
      <c r="N18" s="145">
        <f>VLOOKUP(C18,'Sales Master'!$B$3:$DA$2272,104,0)</f>
        <v>14.533333333333333</v>
      </c>
      <c r="O18" s="145">
        <f>K18-N18</f>
        <v>4.4666666666666668</v>
      </c>
      <c r="P18" s="145">
        <f>O18*G18</f>
        <v>4.4666666666666668</v>
      </c>
      <c r="Q18" s="170"/>
      <c r="R18" s="93"/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104"/>
      <c r="C25" s="105"/>
      <c r="D25" s="454"/>
      <c r="E25" s="454"/>
      <c r="F25" s="454"/>
      <c r="G25" s="105"/>
      <c r="H25" s="105"/>
      <c r="I25" s="124"/>
      <c r="J25" s="124"/>
      <c r="K25" s="108"/>
      <c r="L25" s="125"/>
    </row>
    <row r="26" spans="2:22" ht="20.149999999999999" customHeight="1" thickBot="1" x14ac:dyDescent="0.5">
      <c r="B26" s="36"/>
      <c r="L26" s="37"/>
    </row>
    <row r="27" spans="2:22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55" t="s">
        <v>13</v>
      </c>
      <c r="K27" s="456"/>
      <c r="L27" s="38">
        <f>SUM(L18:L26)</f>
        <v>19</v>
      </c>
      <c r="M27" s="63">
        <f>SUM(P18:P24)</f>
        <v>4.4666666666666668</v>
      </c>
      <c r="N27" s="133">
        <f>M27/L27</f>
        <v>0.23508771929824562</v>
      </c>
    </row>
    <row r="28" spans="2:22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22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57" t="s">
        <v>19</v>
      </c>
      <c r="K29" s="458"/>
      <c r="L29" s="41">
        <f>L27-L28</f>
        <v>19</v>
      </c>
    </row>
    <row r="30" spans="2:22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22" ht="20.149999999999999" customHeight="1" thickBot="1" x14ac:dyDescent="0.5">
      <c r="B31" s="10" t="s">
        <v>700</v>
      </c>
      <c r="C31" s="6"/>
      <c r="D31" s="6"/>
      <c r="E31" s="6"/>
      <c r="F31" s="6"/>
      <c r="G31" s="6"/>
      <c r="H31" s="6"/>
      <c r="I31" s="6"/>
      <c r="J31" s="459" t="s">
        <v>21</v>
      </c>
      <c r="K31" s="460"/>
      <c r="L31" s="43">
        <f>L29+L30</f>
        <v>20.71</v>
      </c>
    </row>
    <row r="32" spans="2:22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690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D24:F24"/>
    <mergeCell ref="I24:J24"/>
    <mergeCell ref="J31:K31"/>
    <mergeCell ref="D25:F25"/>
    <mergeCell ref="J27:K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2" priority="1"/>
  </conditionalFormatting>
  <conditionalFormatting sqref="C19">
    <cfRule type="duplicateValues" dxfId="61" priority="2"/>
  </conditionalFormatting>
  <conditionalFormatting sqref="C20">
    <cfRule type="duplicateValues" dxfId="60" priority="5"/>
  </conditionalFormatting>
  <conditionalFormatting sqref="C21">
    <cfRule type="duplicateValues" dxfId="59" priority="6"/>
  </conditionalFormatting>
  <conditionalFormatting sqref="C22">
    <cfRule type="duplicateValues" dxfId="58" priority="4"/>
  </conditionalFormatting>
  <conditionalFormatting sqref="C23">
    <cfRule type="duplicateValues" dxfId="57" priority="3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7030A0"/>
    <pageSetUpPr fitToPage="1"/>
  </sheetPr>
  <dimension ref="B1:O1048308"/>
  <sheetViews>
    <sheetView topLeftCell="A15" zoomScaleNormal="100" workbookViewId="0">
      <selection activeCell="D18" sqref="D18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1198</v>
      </c>
      <c r="J10" s="24" t="s">
        <v>27</v>
      </c>
      <c r="K10" s="493">
        <v>202501202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Somerset Orchard@Ice shop No: 17      313 Orchard Road #05-01                Singapore 238895                           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/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522052</v>
      </c>
      <c r="C18" s="212" t="str">
        <f>VLOOKUP(B18,'Sales Master'!A$3:B$530,2,0)</f>
        <v>M1025A</v>
      </c>
      <c r="D18" s="502" t="str">
        <f>VLOOKUP(C18,'Sales Master'!B$3:D$530,2,)</f>
        <v>Mini Sweet Potato Q - Orange 番薯粉圆</v>
      </c>
      <c r="E18" s="502"/>
      <c r="F18" s="502"/>
      <c r="G18" s="76">
        <v>3</v>
      </c>
      <c r="H18" s="183" t="str">
        <f>VLOOKUP(C18,'Sales Master'!$B$3:$F$2413,5,0)</f>
        <v>700 GM/ Box盒</v>
      </c>
      <c r="I18" s="462" t="str">
        <f>VLOOKUP(C18,'Sales Master'!$B$3:$E$2413,4,0)</f>
        <v>DO!</v>
      </c>
      <c r="J18" s="462"/>
      <c r="K18" s="83">
        <f>VLOOKUP(C18,'Sales Master'!B$3:I$530,8,0)</f>
        <v>6</v>
      </c>
      <c r="L18" s="84">
        <f t="shared" ref="L18" si="0">K18*G18</f>
        <v>18</v>
      </c>
      <c r="N18" s="170"/>
      <c r="O18" s="93"/>
    </row>
    <row r="19" spans="2:15" ht="20" customHeight="1" x14ac:dyDescent="0.45">
      <c r="B19" s="58">
        <v>522055</v>
      </c>
      <c r="C19" s="212" t="str">
        <f>VLOOKUP(B19,'Sales Master'!A$3:B$530,2,0)</f>
        <v>M1026A</v>
      </c>
      <c r="D19" s="499" t="str">
        <f>VLOOKUP(C19,'Sales Master'!B$3:D$530,2,)</f>
        <v>Mini Sweet Potato Q - Purple 紫番薯粉圆</v>
      </c>
      <c r="E19" s="499"/>
      <c r="F19" s="499"/>
      <c r="G19" s="76">
        <v>4</v>
      </c>
      <c r="H19" s="183" t="str">
        <f>VLOOKUP(C19,'Sales Master'!$B$3:$F$2413,5,0)</f>
        <v>700 GM/ Box盒</v>
      </c>
      <c r="I19" s="462" t="str">
        <f>VLOOKUP(C19,'Sales Master'!$B$3:$E$2413,4,0)</f>
        <v>DO!</v>
      </c>
      <c r="J19" s="462"/>
      <c r="K19" s="83">
        <f>VLOOKUP(C19,'Sales Master'!B$3:I$530,8,0)</f>
        <v>8</v>
      </c>
      <c r="L19" s="84">
        <f>K19*G19</f>
        <v>32</v>
      </c>
      <c r="N19" s="170"/>
      <c r="O19" s="93"/>
    </row>
    <row r="20" spans="2:15" ht="20.149999999999999" customHeight="1" x14ac:dyDescent="0.45">
      <c r="B20" s="58">
        <v>522053</v>
      </c>
      <c r="C20" s="212" t="str">
        <f>VLOOKUP(B20,'Sales Master'!A$3:B$530,2,0)</f>
        <v>M1027A</v>
      </c>
      <c r="D20" s="461" t="str">
        <f>VLOOKUP(C20,'Sales Master'!B$3:D$530,2,)</f>
        <v>Mini Taro Q - White 芋头粉圆</v>
      </c>
      <c r="E20" s="461"/>
      <c r="F20" s="461"/>
      <c r="G20" s="76">
        <v>4</v>
      </c>
      <c r="H20" s="183" t="str">
        <f>VLOOKUP(C20,'Sales Master'!$B$3:$F$2413,5,0)</f>
        <v>700 GM/ Box盒</v>
      </c>
      <c r="I20" s="462" t="str">
        <f>VLOOKUP(C20,'Sales Master'!$B$3:$E$2413,4,0)</f>
        <v>DO!</v>
      </c>
      <c r="J20" s="462"/>
      <c r="K20" s="83">
        <f>VLOOKUP(C20,'Sales Master'!B$3:I$530,8,0)</f>
        <v>8</v>
      </c>
      <c r="L20" s="84">
        <f t="shared" ref="L20" si="1">K20*G20</f>
        <v>32</v>
      </c>
      <c r="N20" s="170"/>
      <c r="O20" s="93"/>
    </row>
    <row r="21" spans="2:15" ht="20.149999999999999" customHeight="1" x14ac:dyDescent="0.45">
      <c r="B21" s="58">
        <v>522057</v>
      </c>
      <c r="C21" s="212" t="str">
        <f>VLOOKUP(B21,'Sales Master'!A$3:B$530,2,0)</f>
        <v>P2038A</v>
      </c>
      <c r="D21" s="585" t="str">
        <f>VLOOKUP(C21,'Sales Master'!B$3:D$530,2,)</f>
        <v>Snow Ice Powder-Mango 雪花冰粉-杨枝甘露</v>
      </c>
      <c r="E21" s="585"/>
      <c r="F21" s="585"/>
      <c r="G21" s="76">
        <v>5</v>
      </c>
      <c r="H21" s="183" t="str">
        <f>VLOOKUP(C21,'Sales Master'!$B$3:$F$2413,5,0)</f>
        <v>1 KG/ Pkt包</v>
      </c>
      <c r="I21" s="462" t="str">
        <f>VLOOKUP(C21,'Sales Master'!$B$3:$E$2413,4,0)</f>
        <v>-</v>
      </c>
      <c r="J21" s="462"/>
      <c r="K21" s="83">
        <f>VLOOKUP(C21,'Sales Master'!B$3:I$530,8,0)</f>
        <v>18</v>
      </c>
      <c r="L21" s="84">
        <f>K21*G21</f>
        <v>90</v>
      </c>
      <c r="N21" s="170"/>
      <c r="O21" s="93"/>
    </row>
    <row r="22" spans="2:15" ht="20.149999999999999" customHeight="1" x14ac:dyDescent="0.45">
      <c r="B22" s="58">
        <v>520711</v>
      </c>
      <c r="C22" s="212" t="str">
        <f>VLOOKUP(B22,'Sales Master'!A$3:B$530,2,0)</f>
        <v>P4014</v>
      </c>
      <c r="D22" s="461" t="str">
        <f>VLOOKUP(C22,'Sales Master'!B$3:D$530,2,)</f>
        <v>Cream Corn 玉米浆</v>
      </c>
      <c r="E22" s="461"/>
      <c r="F22" s="461"/>
      <c r="G22" s="76">
        <v>1</v>
      </c>
      <c r="H22" s="183" t="str">
        <f>VLOOKUP(C22,'Sales Master'!$B$3:$F$2413,5,0)</f>
        <v>410 GM x 24/ Ctn箱</v>
      </c>
      <c r="I22" s="462" t="str">
        <f>VLOOKUP(C22,'Sales Master'!$B$3:$E$2413,4,0)</f>
        <v>Statue</v>
      </c>
      <c r="J22" s="462"/>
      <c r="K22" s="83">
        <f>VLOOKUP(C22,'Sales Master'!B$3:I$530,8,0)</f>
        <v>23</v>
      </c>
      <c r="L22" s="84">
        <f t="shared" ref="L22:L24" si="2">K22*G22</f>
        <v>23</v>
      </c>
      <c r="N22" s="170"/>
    </row>
    <row r="23" spans="2:15" ht="20.149999999999999" customHeight="1" x14ac:dyDescent="0.45">
      <c r="B23" s="58">
        <v>520749</v>
      </c>
      <c r="C23" s="212" t="str">
        <f>VLOOKUP(B23,'Sales Master'!A$3:B$530,2,0)</f>
        <v>P5003A</v>
      </c>
      <c r="D23" s="461" t="str">
        <f>VLOOKUP(C23,'Sales Master'!B$3:D$530,2,)</f>
        <v>Red Sugar 赤糖</v>
      </c>
      <c r="E23" s="461"/>
      <c r="F23" s="461"/>
      <c r="G23" s="76">
        <v>1</v>
      </c>
      <c r="H23" s="183" t="str">
        <f>VLOOKUP(C23,'Sales Master'!$B$3:$F$2413,5,0)</f>
        <v>6 KG</v>
      </c>
      <c r="I23" s="462" t="str">
        <f>VLOOKUP(C23,'Sales Master'!$B$3:$E$2413,4,0)</f>
        <v>Star</v>
      </c>
      <c r="J23" s="462"/>
      <c r="K23" s="83">
        <f>VLOOKUP(C23,'Sales Master'!B$3:I$530,8,0)</f>
        <v>15.5</v>
      </c>
      <c r="L23" s="84">
        <f>K23*G23</f>
        <v>15.5</v>
      </c>
      <c r="N23" s="170"/>
      <c r="O23" s="93"/>
    </row>
    <row r="24" spans="2:15" ht="20.149999999999999" customHeight="1" x14ac:dyDescent="0.45">
      <c r="B24" s="58">
        <v>520748</v>
      </c>
      <c r="C24" s="212" t="str">
        <f>VLOOKUP(B24,'Sales Master'!A$3:B$530,2,0)</f>
        <v>P5006</v>
      </c>
      <c r="D24" s="461" t="str">
        <f>VLOOKUP(C24,'Sales Master'!B$3:D$530,2,)</f>
        <v>Coconut Sugar 椰糖</v>
      </c>
      <c r="E24" s="461"/>
      <c r="F24" s="461"/>
      <c r="G24" s="76">
        <v>1</v>
      </c>
      <c r="H24" s="183" t="str">
        <f>VLOOKUP(C24,'Sales Master'!$B$3:$F$2413,5,0)</f>
        <v>10 KG/ ctn</v>
      </c>
      <c r="I24" s="462" t="str">
        <f>VLOOKUP(C24,'Sales Master'!$B$3:$E$2413,4,0)</f>
        <v>Malaysia</v>
      </c>
      <c r="J24" s="462"/>
      <c r="K24" s="83">
        <f>VLOOKUP(C24,'Sales Master'!B$3:I$530,8,0)</f>
        <v>30</v>
      </c>
      <c r="L24" s="84">
        <f t="shared" si="2"/>
        <v>30</v>
      </c>
      <c r="N24" s="170"/>
      <c r="O24" s="93"/>
    </row>
    <row r="25" spans="2:15" ht="20.149999999999999" customHeight="1" x14ac:dyDescent="0.45">
      <c r="B25" s="58">
        <v>520740</v>
      </c>
      <c r="C25" s="212" t="str">
        <f>VLOOKUP(B25,'Sales Master'!A$3:B$530,2,0)</f>
        <v>M1037A</v>
      </c>
      <c r="D25" s="461" t="str">
        <f>VLOOKUP(C25,'Sales Master'!B$3:D$530,2,)</f>
        <v>Rock Sugar Syrup 冰糖浆</v>
      </c>
      <c r="E25" s="461"/>
      <c r="F25" s="461"/>
      <c r="G25" s="76">
        <v>3</v>
      </c>
      <c r="H25" s="183" t="str">
        <f>VLOOKUP(C25,'Sales Master'!$B$3:$F$2413,5,0)</f>
        <v>5 KG</v>
      </c>
      <c r="I25" s="462" t="str">
        <f>VLOOKUP(C25,'Sales Master'!$B$3:$E$2413,4,0)</f>
        <v>DO!</v>
      </c>
      <c r="J25" s="462"/>
      <c r="K25" s="83">
        <f>VLOOKUP(C25,'Sales Master'!B$3:I$530,8,0)</f>
        <v>10.5</v>
      </c>
      <c r="L25" s="84">
        <f t="shared" ref="L25" si="3">K25*G25</f>
        <v>31.5</v>
      </c>
    </row>
    <row r="26" spans="2:15" ht="20.149999999999999" customHeight="1" x14ac:dyDescent="0.45">
      <c r="B26" s="29"/>
      <c r="C26" s="246"/>
      <c r="D26" s="461"/>
      <c r="E26" s="461"/>
      <c r="F26" s="461"/>
      <c r="G26" s="76"/>
      <c r="H26" s="183"/>
      <c r="I26" s="462"/>
      <c r="J26" s="462"/>
      <c r="K26" s="83"/>
      <c r="L26" s="84"/>
      <c r="N26" s="170"/>
      <c r="O26" s="93"/>
    </row>
    <row r="27" spans="2:15" ht="20.149999999999999" customHeight="1" x14ac:dyDescent="0.45">
      <c r="B27" s="29"/>
      <c r="C27" s="246"/>
      <c r="D27" s="461"/>
      <c r="E27" s="461"/>
      <c r="F27" s="461"/>
      <c r="G27" s="76"/>
      <c r="H27" s="183"/>
      <c r="I27" s="462"/>
      <c r="J27" s="462"/>
      <c r="K27" s="83"/>
      <c r="L27" s="84"/>
      <c r="N27" s="170"/>
      <c r="O27" s="93"/>
    </row>
    <row r="28" spans="2:15" ht="20.149999999999999" customHeight="1" x14ac:dyDescent="0.45">
      <c r="B28" s="29"/>
      <c r="C28" s="246"/>
      <c r="D28" s="461"/>
      <c r="E28" s="461"/>
      <c r="F28" s="461"/>
      <c r="G28" s="76"/>
      <c r="H28" s="183"/>
      <c r="I28" s="462"/>
      <c r="J28" s="462"/>
      <c r="K28" s="83"/>
      <c r="L28" s="84"/>
      <c r="N28" s="170"/>
      <c r="O28" s="93"/>
    </row>
    <row r="29" spans="2:15" ht="20.149999999999999" customHeight="1" x14ac:dyDescent="0.45">
      <c r="B29" s="29"/>
      <c r="C29" s="246"/>
      <c r="D29" s="461"/>
      <c r="E29" s="461"/>
      <c r="F29" s="461"/>
      <c r="G29" s="76"/>
      <c r="H29" s="183"/>
      <c r="I29" s="462"/>
      <c r="J29" s="462"/>
      <c r="K29" s="83"/>
      <c r="L29" s="84"/>
      <c r="N29" s="170"/>
      <c r="O29" s="93"/>
    </row>
    <row r="30" spans="2:15" ht="20.149999999999999" customHeight="1" x14ac:dyDescent="0.45">
      <c r="B30" s="29"/>
      <c r="C30" s="212"/>
      <c r="D30" s="461"/>
      <c r="E30" s="461"/>
      <c r="F30" s="461"/>
      <c r="G30" s="76"/>
      <c r="H30" s="183"/>
      <c r="I30" s="462"/>
      <c r="J30" s="462"/>
      <c r="K30" s="83"/>
      <c r="L30" s="84"/>
    </row>
    <row r="31" spans="2:15" ht="20.149999999999999" customHeight="1" x14ac:dyDescent="0.45">
      <c r="B31" s="29"/>
      <c r="C31" s="246"/>
      <c r="D31" s="461"/>
      <c r="E31" s="461"/>
      <c r="F31" s="461"/>
      <c r="G31" s="76"/>
      <c r="H31" s="183"/>
      <c r="I31" s="462"/>
      <c r="J31" s="462"/>
      <c r="K31" s="83"/>
      <c r="L31" s="84"/>
      <c r="N31" s="170"/>
      <c r="O31" s="93"/>
    </row>
    <row r="32" spans="2:15" ht="20.149999999999999" customHeight="1" x14ac:dyDescent="0.45">
      <c r="B32" s="29"/>
      <c r="C32" s="246"/>
      <c r="D32" s="461"/>
      <c r="E32" s="461"/>
      <c r="F32" s="461"/>
      <c r="G32" s="76"/>
      <c r="H32" s="183"/>
      <c r="I32" s="462"/>
      <c r="J32" s="462"/>
      <c r="K32" s="83"/>
      <c r="L32" s="84"/>
      <c r="N32" s="170"/>
      <c r="O32" s="93"/>
    </row>
    <row r="33" spans="2:13" ht="20.149999999999999" customHeight="1" x14ac:dyDescent="0.45">
      <c r="B33" s="29"/>
      <c r="C33" s="212"/>
      <c r="G33" s="76"/>
      <c r="H33" s="183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454"/>
      <c r="E34" s="454"/>
      <c r="F34" s="454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SUM(L18:L35)</f>
        <v>272</v>
      </c>
      <c r="M36" s="63"/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272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24.48</v>
      </c>
    </row>
    <row r="40" spans="2:13" ht="20.149999999999999" customHeight="1" thickBot="1" x14ac:dyDescent="0.5">
      <c r="B40" s="10" t="s">
        <v>700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296.48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690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308" spans="4:6" x14ac:dyDescent="0.45">
      <c r="D1048308" s="461"/>
      <c r="E1048308" s="461"/>
      <c r="F1048308" s="461"/>
    </row>
  </sheetData>
  <mergeCells count="50">
    <mergeCell ref="D1048308:F1048308"/>
    <mergeCell ref="J38:K38"/>
    <mergeCell ref="D34:F34"/>
    <mergeCell ref="J36:K36"/>
    <mergeCell ref="J40:K40"/>
    <mergeCell ref="D32:F32"/>
    <mergeCell ref="D28:F28"/>
    <mergeCell ref="I32:J32"/>
    <mergeCell ref="I27:J27"/>
    <mergeCell ref="I20:J20"/>
    <mergeCell ref="D30:F30"/>
    <mergeCell ref="I30:J30"/>
    <mergeCell ref="I23:J23"/>
    <mergeCell ref="I21:J21"/>
    <mergeCell ref="D21:F21"/>
    <mergeCell ref="D26:F26"/>
    <mergeCell ref="D31:F31"/>
    <mergeCell ref="D27:F27"/>
    <mergeCell ref="I28:J28"/>
    <mergeCell ref="I29:J29"/>
    <mergeCell ref="D29:F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5:F25"/>
    <mergeCell ref="I25:J25"/>
    <mergeCell ref="D19:F19"/>
    <mergeCell ref="I19:J19"/>
    <mergeCell ref="D20:F20"/>
    <mergeCell ref="I24:J24"/>
    <mergeCell ref="I26:J26"/>
    <mergeCell ref="I31:J31"/>
    <mergeCell ref="D24:F24"/>
    <mergeCell ref="D22:F22"/>
    <mergeCell ref="I22:J22"/>
    <mergeCell ref="D23:F23"/>
  </mergeCells>
  <conditionalFormatting sqref="C18:C25">
    <cfRule type="duplicateValues" dxfId="56" priority="2749"/>
    <cfRule type="duplicateValues" dxfId="55" priority="2750"/>
  </conditionalFormatting>
  <conditionalFormatting sqref="C33 C30">
    <cfRule type="duplicateValues" dxfId="54" priority="269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7832-9A0B-428E-93A2-7A94DF921E98}">
  <sheetPr>
    <tabColor rgb="FFFFC000"/>
    <pageSetUpPr fitToPage="1"/>
  </sheetPr>
  <dimension ref="A1:R54"/>
  <sheetViews>
    <sheetView topLeftCell="A10" zoomScaleNormal="100" workbookViewId="0">
      <selection activeCell="C18" sqref="C18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1199</v>
      </c>
      <c r="J10" s="24" t="s">
        <v>27</v>
      </c>
      <c r="K10" s="493">
        <v>202501189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81"/>
      <c r="H11" s="482"/>
      <c r="J11" s="26" t="s">
        <v>9</v>
      </c>
      <c r="K11" s="495">
        <v>45665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4500320861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1:18" ht="20.149999999999999" customHeight="1" x14ac:dyDescent="0.45">
      <c r="A18" s="65"/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2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13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Master'!A$3:B$530,2,0)</f>
        <v>M1004</v>
      </c>
      <c r="D19" s="461" t="str">
        <f>VLOOKUP(C19,'Sales Master'!B$3:D$530,2,)</f>
        <v>Mango Puree 芒果酱</v>
      </c>
      <c r="E19" s="461"/>
      <c r="F19" s="461"/>
      <c r="G19" s="76">
        <v>3</v>
      </c>
      <c r="H19" s="183" t="str">
        <f>VLOOKUP(C19,'Sales Master'!$B$3:$F$2413,5,0)</f>
        <v>1 KG/ Box盒</v>
      </c>
      <c r="I19" s="462" t="str">
        <f>VLOOKUP(C19,'Sales Master'!$B$3:$E$2413,4,0)</f>
        <v>DO!</v>
      </c>
      <c r="J19" s="462"/>
      <c r="K19" s="83">
        <f>VLOOKUP(C19,'Sales Master'!B$3:I$530,8,0)</f>
        <v>7</v>
      </c>
      <c r="L19" s="84">
        <f>K19*G19</f>
        <v>21</v>
      </c>
    </row>
    <row r="20" spans="1:18" ht="20.149999999999999" customHeight="1" x14ac:dyDescent="0.45">
      <c r="A20" s="65"/>
      <c r="B20" s="58">
        <v>520695</v>
      </c>
      <c r="C20" s="212" t="str">
        <f>VLOOKUP(B20,'Sales Master'!A$3:B$530,2,0)</f>
        <v>P3001B</v>
      </c>
      <c r="D20" s="461" t="str">
        <f>VLOOKUP(C20,'Sales Master'!B$3:D$530,2,)</f>
        <v>Atap Seeds in Syrup 亚嗒子</v>
      </c>
      <c r="E20" s="461"/>
      <c r="F20" s="461"/>
      <c r="G20" s="76">
        <v>2</v>
      </c>
      <c r="H20" s="183" t="str">
        <f>VLOOKUP(C20,'Sales Master'!$B$3:$F$2413,5,0)</f>
        <v>NW(1.6:0.6) 2.2kg/ Bag包</v>
      </c>
      <c r="I20" s="462" t="str">
        <f>VLOOKUP(C20,'Sales Master'!$B$3:$E$2413,4,0)</f>
        <v>DO!</v>
      </c>
      <c r="J20" s="462"/>
      <c r="K20" s="83">
        <f>VLOOKUP(C20,'Sales Master'!B$3:I$530,8,0)</f>
        <v>10</v>
      </c>
      <c r="L20" s="84">
        <f>K20*G20</f>
        <v>20</v>
      </c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58">
        <v>520721</v>
      </c>
      <c r="C21" s="212" t="str">
        <f>VLOOKUP(B21,'Sales Master'!A$3:B$530,2,0)</f>
        <v>P3004A</v>
      </c>
      <c r="D21" s="461" t="str">
        <f>VLOOKUP(C21,'Sales Master'!B$3:D$530,2,)</f>
        <v>GingKo Nut (Peel off) 白果仁</v>
      </c>
      <c r="E21" s="461"/>
      <c r="F21" s="461"/>
      <c r="G21" s="76">
        <v>3</v>
      </c>
      <c r="H21" s="183" t="str">
        <f>VLOOKUP(C21,'Sales Master'!$B$3:$F$2413,5,0)</f>
        <v>1 KG (500 GM X 2)</v>
      </c>
      <c r="I21" s="462" t="str">
        <f>VLOOKUP(C21,'Sales Master'!$B$3:$E$2413,4,0)</f>
        <v>-</v>
      </c>
      <c r="J21" s="462"/>
      <c r="K21" s="83">
        <f>VLOOKUP(C21,'Sales Master'!B$3:I$530,8,0)</f>
        <v>4.5</v>
      </c>
      <c r="L21" s="84">
        <f>K21*G21</f>
        <v>13.5</v>
      </c>
    </row>
    <row r="22" spans="1:18" ht="20.149999999999999" customHeight="1" x14ac:dyDescent="0.45">
      <c r="A22" s="65"/>
      <c r="B22" s="58">
        <v>520738</v>
      </c>
      <c r="C22" s="212" t="str">
        <f>VLOOKUP(B22,'Sales Master'!A$3:B$530,2,0)</f>
        <v>P3005A</v>
      </c>
      <c r="D22" s="461" t="str">
        <f>VLOOKUP(C22,'Sales Master'!B$3:D$530,2,)</f>
        <v>Red Bean 红豆 (5.5 mm)</v>
      </c>
      <c r="E22" s="461"/>
      <c r="F22" s="461"/>
      <c r="G22" s="76">
        <v>2</v>
      </c>
      <c r="H22" s="183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17.5</v>
      </c>
      <c r="L22" s="84">
        <f t="shared" ref="L22" si="1">K22*G22</f>
        <v>35</v>
      </c>
    </row>
    <row r="23" spans="1:18" ht="20.149999999999999" customHeight="1" x14ac:dyDescent="0.45">
      <c r="A23" s="65"/>
      <c r="B23" s="58">
        <v>520724</v>
      </c>
      <c r="C23" s="212" t="str">
        <f>VLOOKUP(B23,'Sales Master'!A$3:B$530,2,0)</f>
        <v>P3009A</v>
      </c>
      <c r="D23" s="461" t="str">
        <f>VLOOKUP(C23,'Sales Master'!B$3:D$530,2,)</f>
        <v>Green Bean 绿豆</v>
      </c>
      <c r="E23" s="461"/>
      <c r="F23" s="461"/>
      <c r="G23" s="76">
        <v>1</v>
      </c>
      <c r="H23" s="183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13</v>
      </c>
      <c r="L23" s="84">
        <f>K23*G23</f>
        <v>13</v>
      </c>
    </row>
    <row r="24" spans="1:18" ht="20.149999999999999" customHeight="1" x14ac:dyDescent="0.45">
      <c r="A24" s="65"/>
      <c r="B24" s="58">
        <v>520698</v>
      </c>
      <c r="C24" s="212" t="str">
        <f>VLOOKUP(B24,'Sales Master'!A$3:B$530,2,0)</f>
        <v>P3013A</v>
      </c>
      <c r="D24" s="461" t="str">
        <f>VLOOKUP(C24,'Sales Master'!B$3:D$530,2,)</f>
        <v>Black Glutinous Rice 黑糯米</v>
      </c>
      <c r="E24" s="461"/>
      <c r="F24" s="461"/>
      <c r="G24" s="76">
        <v>1</v>
      </c>
      <c r="H24" s="183" t="str">
        <f>VLOOKUP(C24,'Sales Master'!$B$3:$F$2413,5,0)</f>
        <v>5 KGS</v>
      </c>
      <c r="I24" s="462" t="str">
        <f>VLOOKUP(C24,'Sales Master'!$B$3:$E$2413,4,0)</f>
        <v>-</v>
      </c>
      <c r="J24" s="462"/>
      <c r="K24" s="83">
        <f>VLOOKUP(C24,'Sales Master'!B$3:I$530,8,0)</f>
        <v>18</v>
      </c>
      <c r="L24" s="84">
        <f>K24*G24</f>
        <v>18</v>
      </c>
    </row>
    <row r="25" spans="1:18" ht="20.149999999999999" customHeight="1" x14ac:dyDescent="0.45">
      <c r="A25" s="65"/>
      <c r="B25" s="58">
        <v>520696</v>
      </c>
      <c r="C25" s="212" t="str">
        <f>VLOOKUP(B25,'Sales Master'!A$3:B$530,2,0)</f>
        <v>P3016A</v>
      </c>
      <c r="D25" s="461" t="str">
        <f>VLOOKUP(C25,'Sales Master'!B$3:D$530,2,)</f>
        <v>Pearl Barley 薏米</v>
      </c>
      <c r="E25" s="461"/>
      <c r="F25" s="461"/>
      <c r="G25" s="76">
        <v>2</v>
      </c>
      <c r="H25" s="183" t="str">
        <f>VLOOKUP(C25,'Sales Master'!$B$3:$F$2413,5,0)</f>
        <v>5 KG</v>
      </c>
      <c r="I25" s="462" t="str">
        <f>VLOOKUP(C25,'Sales Master'!$B$3:$E$2413,4,0)</f>
        <v>-</v>
      </c>
      <c r="J25" s="462"/>
      <c r="K25" s="83">
        <f>VLOOKUP(C25,'Sales Master'!B$3:I$530,8,0)</f>
        <v>10</v>
      </c>
      <c r="L25" s="84">
        <f t="shared" ref="L25" si="2">K25*G25</f>
        <v>20</v>
      </c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>
        <v>520744</v>
      </c>
      <c r="C26" s="212" t="str">
        <f>VLOOKUP(B26,'Sales Master'!A$3:B$530,2,0)</f>
        <v>P3018A</v>
      </c>
      <c r="D26" s="461" t="str">
        <f>VLOOKUP(C26,'Sales Master'!B$3:D$530,2,)</f>
        <v>Small Sago 小丸</v>
      </c>
      <c r="E26" s="461"/>
      <c r="F26" s="461"/>
      <c r="G26" s="76">
        <v>1</v>
      </c>
      <c r="H26" s="183" t="str">
        <f>VLOOKUP(C26,'Sales Master'!$B$3:$F$2413,5,0)</f>
        <v>5 KG</v>
      </c>
      <c r="I26" s="462" t="str">
        <f>VLOOKUP(C26,'Sales Master'!$B$3:$E$2413,4,0)</f>
        <v>-</v>
      </c>
      <c r="J26" s="462"/>
      <c r="K26" s="83">
        <f>VLOOKUP(C26,'Sales Master'!B$3:I$530,8,0)</f>
        <v>10</v>
      </c>
      <c r="L26" s="84">
        <f t="shared" ref="L26" si="3">K26*G26</f>
        <v>10</v>
      </c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>
        <v>520714</v>
      </c>
      <c r="C27" s="212" t="str">
        <f>VLOOKUP(B27,'Sales Master'!A$3:B$530,2,0)</f>
        <v>P3019A</v>
      </c>
      <c r="D27" s="461" t="str">
        <f>VLOOKUP(C27,'Sales Master'!B$3:D$530,2,)</f>
        <v>Dried Longan 龙眼干</v>
      </c>
      <c r="E27" s="461"/>
      <c r="F27" s="461"/>
      <c r="G27" s="76">
        <v>2</v>
      </c>
      <c r="H27" s="183" t="str">
        <f>VLOOKUP(C27,'Sales Master'!$B$3:$F$2413,5,0)</f>
        <v>1 kg</v>
      </c>
      <c r="I27" s="462" t="str">
        <f>VLOOKUP(C27,'Sales Master'!$B$3:$E$2413,4,0)</f>
        <v>TL</v>
      </c>
      <c r="J27" s="462"/>
      <c r="K27" s="83">
        <f>VLOOKUP(C27,'Sales Master'!B$3:I$530,8,0)</f>
        <v>13</v>
      </c>
      <c r="L27" s="84">
        <f t="shared" ref="L27" si="4">K27*G27</f>
        <v>26</v>
      </c>
    </row>
    <row r="28" spans="1:18" ht="20.149999999999999" customHeight="1" x14ac:dyDescent="0.45">
      <c r="A28" s="65"/>
      <c r="B28" s="58">
        <v>520786</v>
      </c>
      <c r="C28" s="212" t="str">
        <f>VLOOKUP(B28,'Sales Master'!A$3:B$530,2,0)</f>
        <v>P3023</v>
      </c>
      <c r="D28" s="461" t="str">
        <f>VLOOKUP(C28,'Sales Master'!B$3:D$530,2,)</f>
        <v>Fungus黄 木耳朵</v>
      </c>
      <c r="E28" s="461"/>
      <c r="F28" s="461"/>
      <c r="G28" s="76">
        <v>1</v>
      </c>
      <c r="H28" s="183" t="str">
        <f>VLOOKUP(C28,'Sales Master'!$B$3:$F$2413,5,0)</f>
        <v>1 kg</v>
      </c>
      <c r="I28" s="462" t="str">
        <f>VLOOKUP(C28,'Sales Master'!$B$3:$E$2413,4,0)</f>
        <v>黄</v>
      </c>
      <c r="J28" s="462"/>
      <c r="K28" s="83">
        <f>VLOOKUP(C28,'Sales Master'!B$3:I$530,8,0)</f>
        <v>16</v>
      </c>
      <c r="L28" s="84">
        <f>K28*G28</f>
        <v>16</v>
      </c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58">
        <v>520728</v>
      </c>
      <c r="C29" s="212" t="str">
        <f>VLOOKUP(B29,'Sales Master'!A$3:B$530,2,0)</f>
        <v>P4010</v>
      </c>
      <c r="D29" s="461" t="str">
        <f>VLOOKUP(C29,'Sales Master'!B$3:D$530,2,)</f>
        <v>Lychee in Syrup 荔枝</v>
      </c>
      <c r="E29" s="461"/>
      <c r="F29" s="461"/>
      <c r="G29" s="76">
        <v>2</v>
      </c>
      <c r="H29" s="183" t="str">
        <f>VLOOKUP(C29,'Sales Master'!$B$3:$F$2413,5,0)</f>
        <v>12can/箱</v>
      </c>
      <c r="I29" s="462" t="str">
        <f>VLOOKUP(C29,'Sales Master'!$B$3:$E$2413,4,0)</f>
        <v>MiLi</v>
      </c>
      <c r="J29" s="462"/>
      <c r="K29" s="83">
        <f>VLOOKUP(C29,'Sales Master'!B$3:I$530,8,0)</f>
        <v>24</v>
      </c>
      <c r="L29" s="84">
        <f>K29*G29</f>
        <v>48</v>
      </c>
    </row>
    <row r="30" spans="1:18" ht="20.149999999999999" customHeight="1" x14ac:dyDescent="0.45">
      <c r="A30" s="65"/>
      <c r="B30" s="58">
        <v>520711</v>
      </c>
      <c r="C30" s="212" t="str">
        <f>VLOOKUP(B30,'Sales Master'!A$3:B$530,2,0)</f>
        <v>P4014</v>
      </c>
      <c r="D30" s="461" t="str">
        <f>VLOOKUP(C30,'Sales Master'!B$3:D$530,2,)</f>
        <v>Cream Corn 玉米浆</v>
      </c>
      <c r="E30" s="461"/>
      <c r="F30" s="461"/>
      <c r="G30" s="76">
        <v>1</v>
      </c>
      <c r="H30" s="183" t="str">
        <f>VLOOKUP(C30,'Sales Master'!$B$3:$F$2413,5,0)</f>
        <v>410 GM x 24/ Ctn箱</v>
      </c>
      <c r="I30" s="462" t="str">
        <f>VLOOKUP(C30,'Sales Master'!$B$3:$E$2413,4,0)</f>
        <v>Statue</v>
      </c>
      <c r="J30" s="462"/>
      <c r="K30" s="83">
        <f>VLOOKUP(C30,'Sales Master'!B$3:I$530,8,0)</f>
        <v>23</v>
      </c>
      <c r="L30" s="84">
        <f>K30*G30</f>
        <v>23</v>
      </c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58">
        <v>520733</v>
      </c>
      <c r="C31" s="212" t="str">
        <f>VLOOKUP(B31,'Sales Master'!A$3:B$530,2,0)</f>
        <v>P6002A</v>
      </c>
      <c r="D31" s="498" t="str">
        <f>VLOOKUP(C31,'Sales Master'!B$3:D$530,2,)</f>
        <v>Skinless Sweet Potato 去皮番薯</v>
      </c>
      <c r="E31" s="498"/>
      <c r="F31" s="498"/>
      <c r="G31" s="76">
        <v>1</v>
      </c>
      <c r="H31" s="183" t="str">
        <f>VLOOKUP(C31,'Sales Master'!$B$3:$F$2413,5,0)</f>
        <v>5 KG</v>
      </c>
      <c r="I31" s="462" t="str">
        <f>VLOOKUP(C31,'Sales Master'!$B$3:$E$2413,4,0)</f>
        <v>Malaysia</v>
      </c>
      <c r="J31" s="462"/>
      <c r="K31" s="83">
        <f>VLOOKUP(C31,'Sales Master'!B$3:I$530,8,0)</f>
        <v>16.5</v>
      </c>
      <c r="L31" s="84">
        <f>K31*G31</f>
        <v>16.5</v>
      </c>
    </row>
    <row r="32" spans="1:18" ht="20.149999999999999" customHeight="1" x14ac:dyDescent="0.45">
      <c r="A32" s="65"/>
      <c r="B32" s="58">
        <v>520736</v>
      </c>
      <c r="C32" s="212" t="str">
        <f>VLOOKUP(B32,'Sales Master'!A$3:B$530,2,0)</f>
        <v>P6015</v>
      </c>
      <c r="D32" s="461" t="str">
        <f>VLOOKUP(C32,'Sales Master'!B$3:D$530,2,)</f>
        <v>Pumpkin Gourd 金瓜</v>
      </c>
      <c r="E32" s="461"/>
      <c r="F32" s="461"/>
      <c r="G32" s="76">
        <v>1</v>
      </c>
      <c r="H32" s="183" t="str">
        <f>VLOOKUP(C32,'Sales Master'!$B$3:$F$2413,5,0)</f>
        <v>1 KG</v>
      </c>
      <c r="I32" s="462" t="str">
        <f>VLOOKUP(C32,'Sales Master'!$B$3:$E$2413,4,0)</f>
        <v>-</v>
      </c>
      <c r="J32" s="462"/>
      <c r="K32" s="83">
        <f>VLOOKUP(C32,'Sales Master'!B$3:I$530,8,0)</f>
        <v>2.5</v>
      </c>
      <c r="L32" s="84">
        <f t="shared" ref="L32" si="5">K32*G32</f>
        <v>2.5</v>
      </c>
    </row>
    <row r="33" spans="1:18" ht="20.149999999999999" customHeight="1" x14ac:dyDescent="0.45">
      <c r="A33" s="65"/>
      <c r="B33" s="58">
        <v>520740</v>
      </c>
      <c r="C33" s="212" t="str">
        <f>VLOOKUP(B33,'Sales Master'!A$3:B$530,2,0)</f>
        <v>M1037A</v>
      </c>
      <c r="D33" s="461" t="str">
        <f>VLOOKUP(C33,'Sales Master'!B$3:D$530,2,)</f>
        <v>Rock Sugar Syrup 冰糖浆</v>
      </c>
      <c r="E33" s="461"/>
      <c r="F33" s="461"/>
      <c r="G33" s="76">
        <v>5</v>
      </c>
      <c r="H33" s="183" t="str">
        <f>VLOOKUP(C33,'Sales Master'!$B$3:$F$2413,5,0)</f>
        <v>5 KG</v>
      </c>
      <c r="I33" s="462" t="str">
        <f>VLOOKUP(C33,'Sales Master'!$B$3:$E$2413,4,0)</f>
        <v>DO!</v>
      </c>
      <c r="J33" s="462"/>
      <c r="K33" s="83">
        <f>VLOOKUP(C33,'Sales Master'!B$3:I$530,8,0)</f>
        <v>10.5</v>
      </c>
      <c r="L33" s="84">
        <f>K33*G33</f>
        <v>52.5</v>
      </c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3"/>
      <c r="C34" s="212"/>
      <c r="D34" s="461"/>
      <c r="E34" s="461"/>
      <c r="F34" s="461"/>
      <c r="G34" s="76"/>
      <c r="H34" s="183"/>
      <c r="I34" s="462"/>
      <c r="J34" s="462"/>
      <c r="K34" s="83"/>
      <c r="L34" s="84"/>
    </row>
    <row r="35" spans="1:18" ht="20.149999999999999" customHeight="1" x14ac:dyDescent="0.45">
      <c r="A35" s="65"/>
      <c r="B35" s="243"/>
      <c r="C35" s="212"/>
      <c r="D35" s="461"/>
      <c r="E35" s="461"/>
      <c r="F35" s="461"/>
      <c r="G35" s="76"/>
      <c r="H35" s="183"/>
      <c r="I35" s="462"/>
      <c r="J35" s="462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3"/>
      <c r="C36" s="212"/>
      <c r="D36" s="461"/>
      <c r="E36" s="461"/>
      <c r="F36" s="461"/>
      <c r="G36" s="76"/>
      <c r="H36" s="183"/>
      <c r="I36" s="462"/>
      <c r="J36" s="462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243"/>
      <c r="C37" s="212"/>
      <c r="G37" s="76"/>
      <c r="H37" s="183"/>
      <c r="I37" s="209"/>
      <c r="J37" s="209"/>
      <c r="K37" s="83"/>
      <c r="L37" s="84"/>
      <c r="N37" s="145"/>
      <c r="O37" s="145"/>
      <c r="P37" s="145"/>
      <c r="Q37" s="63"/>
      <c r="R37" s="63"/>
    </row>
    <row r="38" spans="1:18" ht="20.149999999999999" customHeight="1" x14ac:dyDescent="0.45">
      <c r="A38" s="65"/>
      <c r="B38" s="139"/>
      <c r="C38" s="129"/>
      <c r="D38" s="140"/>
      <c r="E38" s="140"/>
      <c r="F38" s="140"/>
      <c r="G38" s="129"/>
      <c r="H38" s="138"/>
      <c r="I38" s="514"/>
      <c r="J38" s="514"/>
      <c r="K38" s="95"/>
      <c r="L38" s="98"/>
      <c r="M38" s="63"/>
      <c r="N38" s="63"/>
      <c r="Q38" s="63"/>
    </row>
    <row r="39" spans="1:18" ht="20.149999999999999" customHeight="1" thickBot="1" x14ac:dyDescent="0.5">
      <c r="A39" s="65"/>
      <c r="B39" s="141"/>
      <c r="C39" s="76"/>
      <c r="D39" s="65"/>
      <c r="E39" s="65"/>
      <c r="F39" s="65"/>
      <c r="G39" s="76"/>
      <c r="H39" s="82"/>
      <c r="I39" s="76"/>
      <c r="J39" s="76"/>
      <c r="K39" s="83"/>
      <c r="L39" s="84"/>
    </row>
    <row r="40" spans="1:18" ht="20.149999999999999" customHeight="1" x14ac:dyDescent="0.45">
      <c r="A40" s="65"/>
      <c r="B40" s="142" t="s">
        <v>16</v>
      </c>
      <c r="C40" s="135"/>
      <c r="D40" s="135"/>
      <c r="E40" s="135"/>
      <c r="F40" s="135"/>
      <c r="G40" s="135"/>
      <c r="H40" s="135"/>
      <c r="I40" s="135"/>
      <c r="J40" s="512" t="s">
        <v>13</v>
      </c>
      <c r="K40" s="513"/>
      <c r="L40" s="143">
        <f>SUM(L18:L39)</f>
        <v>348</v>
      </c>
      <c r="M40" s="63">
        <f>SUM(P18:P39)</f>
        <v>0</v>
      </c>
      <c r="N40" s="133">
        <f>M40/L40</f>
        <v>0</v>
      </c>
      <c r="Q40" s="133"/>
    </row>
    <row r="41" spans="1:18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  <c r="M41" s="63"/>
    </row>
    <row r="42" spans="1:18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>
        <f>L40-L41</f>
        <v>348</v>
      </c>
    </row>
    <row r="43" spans="1:18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31.32</v>
      </c>
    </row>
    <row r="44" spans="1:18" ht="20.149999999999999" customHeight="1" thickBot="1" x14ac:dyDescent="0.5">
      <c r="B44" s="10" t="s">
        <v>700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>
        <f>SUM(L41:L43)</f>
        <v>379.32</v>
      </c>
    </row>
    <row r="45" spans="1:18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1:18" ht="18" customHeight="1" x14ac:dyDescent="0.45">
      <c r="B46" s="144" t="s">
        <v>690</v>
      </c>
      <c r="L46" s="37"/>
    </row>
    <row r="47" spans="1:18" ht="18" customHeight="1" x14ac:dyDescent="0.45">
      <c r="B47" s="36"/>
      <c r="L47" s="37"/>
      <c r="N47" s="176">
        <v>44641</v>
      </c>
      <c r="O47" s="19">
        <v>287.5</v>
      </c>
      <c r="P47" s="19">
        <v>54.36</v>
      </c>
      <c r="Q47" s="133">
        <f>P47/O47</f>
        <v>0.18907826086956522</v>
      </c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36"/>
      <c r="L50" s="37"/>
      <c r="N50" s="176"/>
      <c r="Q50" s="133"/>
    </row>
    <row r="51" spans="2:17" ht="18" customHeight="1" x14ac:dyDescent="0.45">
      <c r="B51" s="44"/>
      <c r="C51" s="45"/>
      <c r="D51" s="45"/>
      <c r="J51" s="45"/>
      <c r="K51" s="45"/>
      <c r="L51" s="46"/>
    </row>
    <row r="52" spans="2:17" ht="20.149999999999999" customHeight="1" x14ac:dyDescent="0.45">
      <c r="B52" s="36" t="s">
        <v>25</v>
      </c>
      <c r="J52" s="19" t="s">
        <v>26</v>
      </c>
      <c r="L52" s="37"/>
    </row>
    <row r="53" spans="2:17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7" ht="20.5" x14ac:dyDescent="0.45">
      <c r="F54" s="201"/>
    </row>
  </sheetData>
  <mergeCells count="57">
    <mergeCell ref="I33:J33"/>
    <mergeCell ref="D33:F33"/>
    <mergeCell ref="D27:F27"/>
    <mergeCell ref="D22:F22"/>
    <mergeCell ref="J44:K44"/>
    <mergeCell ref="I38:J38"/>
    <mergeCell ref="J40:K40"/>
    <mergeCell ref="J42:K42"/>
    <mergeCell ref="I26:J26"/>
    <mergeCell ref="I36:J36"/>
    <mergeCell ref="I35:J35"/>
    <mergeCell ref="I34:J34"/>
    <mergeCell ref="I22:J22"/>
    <mergeCell ref="I29:J29"/>
    <mergeCell ref="D23:F23"/>
    <mergeCell ref="D36:F36"/>
    <mergeCell ref="I17:J17"/>
    <mergeCell ref="D17:F17"/>
    <mergeCell ref="D29:F29"/>
    <mergeCell ref="I19:J19"/>
    <mergeCell ref="D19:F19"/>
    <mergeCell ref="I18:J18"/>
    <mergeCell ref="I24:J24"/>
    <mergeCell ref="D18:F18"/>
    <mergeCell ref="I23:J23"/>
    <mergeCell ref="I32:J32"/>
    <mergeCell ref="I20:J20"/>
    <mergeCell ref="D20:F20"/>
    <mergeCell ref="I25:J25"/>
    <mergeCell ref="I31:J31"/>
    <mergeCell ref="I27:J27"/>
    <mergeCell ref="D25:F25"/>
    <mergeCell ref="D24:F24"/>
    <mergeCell ref="D21:F21"/>
    <mergeCell ref="I21:J21"/>
    <mergeCell ref="I28:J28"/>
    <mergeCell ref="I30:J30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5:F35"/>
    <mergeCell ref="D30:F30"/>
    <mergeCell ref="D31:F31"/>
    <mergeCell ref="D26:F26"/>
    <mergeCell ref="D34:F34"/>
    <mergeCell ref="D32:F32"/>
  </mergeCells>
  <hyperlinks>
    <hyperlink ref="B15" r:id="rId1" xr:uid="{46B2BC83-90EC-4F5B-9E85-B926CF2C3522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C000"/>
    <pageSetUpPr fitToPage="1"/>
  </sheetPr>
  <dimension ref="B1:V1048574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1200</v>
      </c>
      <c r="J10" s="24" t="s">
        <v>27</v>
      </c>
      <c r="K10" s="493">
        <v>202409629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Parkway Parade @Juice Bar                     80 Marine Parade Road #B1-85        Singapore 449269                            </v>
      </c>
      <c r="G11" s="481"/>
      <c r="H11" s="482"/>
      <c r="J11" s="26" t="s">
        <v>9</v>
      </c>
      <c r="K11" s="495">
        <v>45563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1299</v>
      </c>
      <c r="D18" s="461" t="str">
        <f>VLOOKUP(C18,'Sales Master'!B$3:D$530,2,)</f>
        <v>Rock Sugar Syrup 冰糖浆</v>
      </c>
      <c r="E18" s="461"/>
      <c r="F18" s="461"/>
      <c r="G18" s="76">
        <v>6</v>
      </c>
      <c r="H18" s="183" t="str">
        <f>VLOOKUP(C18,'Sales Master'!$B$3:$F$2413,5,0)</f>
        <v>5 KG</v>
      </c>
      <c r="I18" s="462" t="str">
        <f>VLOOKUP(C18,'Sales Master'!$B$3:$E$2413,4,0)</f>
        <v>DO!</v>
      </c>
      <c r="J18" s="462"/>
      <c r="K18" s="83">
        <f>VLOOKUP(C18,'Sales Master'!B$3:I$530,8,0)</f>
        <v>10.5</v>
      </c>
      <c r="L18" s="84">
        <f>K18*G18</f>
        <v>63</v>
      </c>
      <c r="N18" s="145">
        <f>VLOOKUP(C18,'Sales Master'!$B$3:$DA$2272,104,0)</f>
        <v>5.86</v>
      </c>
      <c r="O18" s="145">
        <f>K18-N18</f>
        <v>4.6399999999999997</v>
      </c>
      <c r="P18" s="145">
        <f>O18*G18</f>
        <v>27.839999999999996</v>
      </c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 t="s">
        <v>1184</v>
      </c>
      <c r="D19" s="461" t="str">
        <f>VLOOKUP(C19,'Sales Master'!B$3:D$530,2,)</f>
        <v>Dried Roselle 洛神花</v>
      </c>
      <c r="E19" s="461"/>
      <c r="F19" s="461"/>
      <c r="G19" s="76">
        <v>1</v>
      </c>
      <c r="H19" s="183" t="str">
        <f>VLOOKUP(C19,'Sales Master'!$B$3:$F$2413,5,0)</f>
        <v>1 KG</v>
      </c>
      <c r="I19" s="462" t="str">
        <f>VLOOKUP(C19,'Sales Master'!$B$3:$E$2413,4,0)</f>
        <v>China</v>
      </c>
      <c r="J19" s="462"/>
      <c r="K19" s="83">
        <f>VLOOKUP(C19,'Sales Master'!B$3:I$530,8,0)</f>
        <v>22</v>
      </c>
      <c r="L19" s="84">
        <f>K19*G19</f>
        <v>22</v>
      </c>
      <c r="N19" s="145">
        <f>VLOOKUP(C19,'Sales Master'!$B$3:$DA$2272,104,0)</f>
        <v>17</v>
      </c>
      <c r="O19" s="145">
        <f>K19-N19</f>
        <v>5</v>
      </c>
      <c r="P19" s="145">
        <f>O19*G19</f>
        <v>5</v>
      </c>
    </row>
    <row r="20" spans="2:22" ht="20.149999999999999" customHeight="1" x14ac:dyDescent="0.45">
      <c r="B20" s="29"/>
      <c r="C20" s="212"/>
      <c r="D20" s="498"/>
      <c r="E20" s="498"/>
      <c r="F20" s="498"/>
      <c r="G20" s="76"/>
      <c r="H20" s="183"/>
      <c r="I20" s="462"/>
      <c r="J20" s="46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85</v>
      </c>
      <c r="M30" s="63">
        <f>SUM(P18:P28)</f>
        <v>32.839999999999996</v>
      </c>
      <c r="N30" s="133">
        <f>M30/L30</f>
        <v>0.38635294117647057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85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7.6499999999999995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92.65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1048574" spans="8:16" x14ac:dyDescent="0.45">
      <c r="H1048574" s="183"/>
      <c r="I1048574" s="462"/>
      <c r="J1048574" s="462"/>
      <c r="K1048574" s="83"/>
      <c r="L1048574" s="83"/>
      <c r="N1048574" s="233"/>
      <c r="O1048574" s="233"/>
      <c r="P1048574" s="233"/>
    </row>
  </sheetData>
  <mergeCells count="32">
    <mergeCell ref="I1048574:J1048574"/>
    <mergeCell ref="J34:K34"/>
    <mergeCell ref="D25:F25"/>
    <mergeCell ref="I25:J25"/>
    <mergeCell ref="D26:F26"/>
    <mergeCell ref="I26:J26"/>
    <mergeCell ref="D28:F28"/>
    <mergeCell ref="J30:K30"/>
    <mergeCell ref="J32:K32"/>
    <mergeCell ref="D24:F24"/>
    <mergeCell ref="I24:J24"/>
    <mergeCell ref="I17:J17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3" priority="1"/>
  </conditionalFormatting>
  <conditionalFormatting sqref="C19:C23">
    <cfRule type="duplicateValues" dxfId="52" priority="2181"/>
  </conditionalFormatting>
  <conditionalFormatting sqref="C24">
    <cfRule type="duplicateValues" dxfId="51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7030A0"/>
    <pageSetUpPr fitToPage="1"/>
  </sheetPr>
  <dimension ref="B1:V44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1201</v>
      </c>
      <c r="J10" s="24" t="s">
        <v>27</v>
      </c>
      <c r="K10" s="493">
        <v>202403441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City Square@Juice Bar                                        180 Kitchener Road #04-31                  Singapore 208539                                           </v>
      </c>
      <c r="G11" s="481"/>
      <c r="H11" s="482"/>
      <c r="J11" s="26" t="s">
        <v>9</v>
      </c>
      <c r="K11" s="495">
        <v>45370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17" t="s">
        <v>916</v>
      </c>
      <c r="D18" s="461" t="str">
        <f>VLOOKUP(C18,'Sales Master'!B$3:D$530,2,)</f>
        <v>Sour Plum 酸梅(无子)</v>
      </c>
      <c r="E18" s="461"/>
      <c r="F18" s="461"/>
      <c r="G18" s="76">
        <v>3</v>
      </c>
      <c r="H18" s="183" t="str">
        <f>VLOOKUP(C18,'Sales Master'!$B$3:$F$2413,5,0)</f>
        <v>1 kg</v>
      </c>
      <c r="I18" s="462" t="str">
        <f>VLOOKUP(C18,'Sales Master'!$B$3:$E$2413,4,0)</f>
        <v>-</v>
      </c>
      <c r="J18" s="462"/>
      <c r="K18" s="83">
        <f>VLOOKUP(C18,'Sales Master'!B$3:I$530,8,0)</f>
        <v>19</v>
      </c>
      <c r="L18" s="84">
        <f>K18*G18</f>
        <v>57</v>
      </c>
      <c r="N18" s="145">
        <f>VLOOKUP(C18,'Sales Master'!$B$3:$DA$2272,104,0)</f>
        <v>14.533333333333333</v>
      </c>
      <c r="O18" s="145">
        <f>K18-N18</f>
        <v>4.4666666666666668</v>
      </c>
      <c r="P18" s="145">
        <f>O18*G18</f>
        <v>13.4</v>
      </c>
      <c r="Q18" s="170"/>
      <c r="R18" s="93"/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17"/>
      <c r="D19" s="461"/>
      <c r="E19" s="461"/>
      <c r="F19" s="461"/>
      <c r="G19" s="76"/>
      <c r="H19" s="82"/>
      <c r="I19" s="446"/>
      <c r="J19" s="446"/>
      <c r="K19" s="83"/>
      <c r="L19" s="96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57</v>
      </c>
      <c r="M32" s="63">
        <f>SUM(P18:P29)</f>
        <v>13.4</v>
      </c>
      <c r="N32" s="133">
        <f>M32/L32</f>
        <v>0.23508771929824562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57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5.13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62.13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0" priority="1"/>
  </conditionalFormatting>
  <conditionalFormatting sqref="C19">
    <cfRule type="duplicateValues" dxfId="49" priority="2"/>
  </conditionalFormatting>
  <conditionalFormatting sqref="C20">
    <cfRule type="duplicateValues" dxfId="48" priority="6"/>
  </conditionalFormatting>
  <conditionalFormatting sqref="C21">
    <cfRule type="duplicateValues" dxfId="47" priority="7"/>
  </conditionalFormatting>
  <conditionalFormatting sqref="C22">
    <cfRule type="duplicateValues" dxfId="46" priority="4"/>
  </conditionalFormatting>
  <conditionalFormatting sqref="C23">
    <cfRule type="duplicateValues" dxfId="45" priority="3"/>
  </conditionalFormatting>
  <conditionalFormatting sqref="C25">
    <cfRule type="duplicateValues" dxfId="44" priority="9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C000"/>
    <pageSetUpPr fitToPage="1"/>
  </sheetPr>
  <dimension ref="B1:V1048559"/>
  <sheetViews>
    <sheetView topLeftCell="A2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1204</v>
      </c>
      <c r="J10" s="24" t="s">
        <v>27</v>
      </c>
      <c r="K10" s="493">
        <v>202501118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520740</v>
      </c>
      <c r="C18" s="212" t="s">
        <v>1299</v>
      </c>
      <c r="D18" s="461" t="str">
        <f>VLOOKUP(C18,'Sales Master'!B$3:D$530,2,)</f>
        <v>Rock Sugar Syrup 冰糖浆</v>
      </c>
      <c r="E18" s="461"/>
      <c r="F18" s="461"/>
      <c r="G18" s="76">
        <v>10</v>
      </c>
      <c r="H18" s="183" t="str">
        <f>VLOOKUP(C18,'Sales Master'!$B$3:$F$2413,5,0)</f>
        <v>5 KG</v>
      </c>
      <c r="I18" s="462" t="str">
        <f>VLOOKUP(C18,'Sales Master'!$B$3:$E$2413,4,0)</f>
        <v>DO!</v>
      </c>
      <c r="J18" s="462"/>
      <c r="K18" s="83">
        <f>VLOOKUP(C18,'Sales Master'!B$3:I$530,8,0)</f>
        <v>10.5</v>
      </c>
      <c r="L18" s="84">
        <f>K18*G18</f>
        <v>105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 t="s">
        <v>2201</v>
      </c>
      <c r="D19" s="461" t="str">
        <f>VLOOKUP(C19,'Sales Master'!B$3:D$530,2,)</f>
        <v>Coconut Sugar Syrup 椰糖浆</v>
      </c>
      <c r="E19" s="461"/>
      <c r="F19" s="461"/>
      <c r="G19" s="76">
        <v>2</v>
      </c>
      <c r="H19" s="183" t="str">
        <f>VLOOKUP(C19,'Sales Master'!$B$3:$F$2413,5,0)</f>
        <v>GW: 5 KG/ Btl支</v>
      </c>
      <c r="I19" s="462" t="str">
        <f>VLOOKUP(C19,'Sales Master'!$B$3:$E$2413,4,0)</f>
        <v>DO!</v>
      </c>
      <c r="J19" s="462"/>
      <c r="K19" s="83">
        <f>VLOOKUP(C19,'Sales Master'!B$3:I$530,8,0)</f>
        <v>20</v>
      </c>
      <c r="L19" s="84">
        <f t="shared" ref="L19" si="0">K19*G19</f>
        <v>40</v>
      </c>
    </row>
    <row r="20" spans="2:22" ht="20.149999999999999" customHeight="1" x14ac:dyDescent="0.45">
      <c r="B20" s="58">
        <v>520696</v>
      </c>
      <c r="C20" s="212" t="s">
        <v>870</v>
      </c>
      <c r="D20" s="461" t="str">
        <f>VLOOKUP(C20,'Sales Master'!B$3:D$530,2,)</f>
        <v>Pearl Barley 薏米</v>
      </c>
      <c r="E20" s="461"/>
      <c r="F20" s="461"/>
      <c r="G20" s="76">
        <v>3</v>
      </c>
      <c r="H20" s="183" t="str">
        <f>VLOOKUP(C20,'Sales Master'!$B$3:$F$2413,5,0)</f>
        <v>5 KG</v>
      </c>
      <c r="I20" s="462" t="str">
        <f>VLOOKUP(C20,'Sales Master'!$B$3:$E$2413,4,0)</f>
        <v>-</v>
      </c>
      <c r="J20" s="462"/>
      <c r="K20" s="83">
        <f>VLOOKUP(C20,'Sales Master'!B$3:I$530,8,0)</f>
        <v>10</v>
      </c>
      <c r="L20" s="84">
        <f>K20*G20</f>
        <v>30</v>
      </c>
    </row>
    <row r="21" spans="2:22" ht="20.149999999999999" customHeight="1" x14ac:dyDescent="0.45">
      <c r="B21" s="58"/>
      <c r="C21" s="212" t="s">
        <v>916</v>
      </c>
      <c r="D21" s="461" t="str">
        <f>VLOOKUP(C21,'Sales Master'!B$3:D$530,2,)</f>
        <v>Sour Plum 酸梅(无子)</v>
      </c>
      <c r="E21" s="461"/>
      <c r="F21" s="461"/>
      <c r="G21" s="76">
        <v>2</v>
      </c>
      <c r="H21" s="183" t="str">
        <f>VLOOKUP(C21,'Sales Master'!$B$3:$F$2413,5,0)</f>
        <v>1 kg</v>
      </c>
      <c r="I21" s="462" t="str">
        <f>VLOOKUP(C21,'Sales Master'!$B$3:$E$2413,4,0)</f>
        <v>-</v>
      </c>
      <c r="J21" s="462"/>
      <c r="K21" s="83">
        <f>VLOOKUP(C21,'Sales Master'!B$3:I$530,8,0)</f>
        <v>19</v>
      </c>
      <c r="L21" s="84">
        <f>K21*G21</f>
        <v>38</v>
      </c>
    </row>
    <row r="22" spans="2:22" ht="20.149999999999999" customHeight="1" x14ac:dyDescent="0.45">
      <c r="B22" s="58">
        <v>520713</v>
      </c>
      <c r="C22" s="212" t="s">
        <v>1184</v>
      </c>
      <c r="D22" s="461" t="str">
        <f>VLOOKUP(C22,'Sales Master'!B$3:D$530,2,)</f>
        <v>Dried Roselle 洛神花</v>
      </c>
      <c r="E22" s="461"/>
      <c r="F22" s="461"/>
      <c r="G22" s="76">
        <v>3</v>
      </c>
      <c r="H22" s="183" t="str">
        <f>VLOOKUP(C22,'Sales Master'!$B$3:$F$2413,5,0)</f>
        <v>1 KG</v>
      </c>
      <c r="I22" s="462" t="str">
        <f>VLOOKUP(C22,'Sales Master'!$B$3:$E$2413,4,0)</f>
        <v>China</v>
      </c>
      <c r="J22" s="462"/>
      <c r="K22" s="83">
        <f>VLOOKUP(C22,'Sales Master'!B$3:I$530,8,0)</f>
        <v>22</v>
      </c>
      <c r="L22" s="84">
        <f>K22*G22</f>
        <v>66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G26" s="76"/>
      <c r="H26" s="56"/>
      <c r="I26" s="56"/>
      <c r="J26" s="56"/>
      <c r="K26" s="30"/>
      <c r="L26" s="31"/>
    </row>
    <row r="27" spans="2:22" ht="20.149999999999999" customHeight="1" x14ac:dyDescent="0.45">
      <c r="B27" s="104"/>
      <c r="C27" s="105"/>
      <c r="D27" s="454"/>
      <c r="E27" s="454"/>
      <c r="F27" s="45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279</v>
      </c>
      <c r="M29" s="63">
        <f>SUM(P18:P20)</f>
        <v>0</v>
      </c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279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25.11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304.11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59" spans="8:16" x14ac:dyDescent="0.45">
      <c r="H1048559" s="183"/>
      <c r="I1048559" s="462"/>
      <c r="J1048559" s="462"/>
      <c r="K1048559" s="83"/>
      <c r="L1048559" s="84"/>
      <c r="N1048559" s="145"/>
      <c r="O1048559" s="145"/>
      <c r="P1048559" s="145"/>
    </row>
  </sheetData>
  <mergeCells count="36">
    <mergeCell ref="I1048559:J1048559"/>
    <mergeCell ref="D21:F21"/>
    <mergeCell ref="I21:J21"/>
    <mergeCell ref="J33:K33"/>
    <mergeCell ref="D19:F19"/>
    <mergeCell ref="I19:J19"/>
    <mergeCell ref="D23:F23"/>
    <mergeCell ref="I23:J23"/>
    <mergeCell ref="D24:F24"/>
    <mergeCell ref="I24:J24"/>
    <mergeCell ref="D25:F25"/>
    <mergeCell ref="I25:J25"/>
    <mergeCell ref="D27:F27"/>
    <mergeCell ref="J29:K29"/>
    <mergeCell ref="J31:K31"/>
    <mergeCell ref="D20:F20"/>
    <mergeCell ref="I20:J20"/>
    <mergeCell ref="I17:J17"/>
    <mergeCell ref="D22:F22"/>
    <mergeCell ref="I22:J22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43" priority="4"/>
  </conditionalFormatting>
  <conditionalFormatting sqref="C19">
    <cfRule type="duplicateValues" dxfId="42" priority="8"/>
  </conditionalFormatting>
  <conditionalFormatting sqref="C20">
    <cfRule type="duplicateValues" dxfId="41" priority="2"/>
  </conditionalFormatting>
  <conditionalFormatting sqref="C22">
    <cfRule type="duplicateValues" dxfId="40" priority="2496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42"/>
  <sheetViews>
    <sheetView topLeftCell="B5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8164062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</v>
      </c>
      <c r="J10" s="24" t="s">
        <v>27</v>
      </c>
      <c r="K10" s="493">
        <v>202303086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10, Sinaran Drive #04-14 to 19,56 to 73. Novena Square 2  Singapore 307506                                       </v>
      </c>
      <c r="G11" s="481"/>
      <c r="H11" s="482"/>
      <c r="J11" s="26" t="s">
        <v>9</v>
      </c>
      <c r="K11" s="495">
        <v>44988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870</v>
      </c>
      <c r="D18" s="461" t="str">
        <f>VLOOKUP(C18,'Sales Master'!B$3:D$530,2,)</f>
        <v>Pearl Barley 薏米</v>
      </c>
      <c r="E18" s="461"/>
      <c r="F18" s="461"/>
      <c r="G18" s="17">
        <v>1</v>
      </c>
      <c r="H18" s="56" t="str">
        <f>VLOOKUP(C18,'Sales Master'!$B$3:$F$2413,5,0)</f>
        <v>5 KG</v>
      </c>
      <c r="I18" s="491" t="str">
        <f>VLOOKUP(C18,'Sales Master'!$B$3:$E$2413,4,0)</f>
        <v>-</v>
      </c>
      <c r="J18" s="491"/>
      <c r="K18" s="30">
        <f>VLOOKUP(C18,'Sales Master'!B$3:J$530,9,0)</f>
        <v>10</v>
      </c>
      <c r="L18" s="64">
        <f>K18*G18</f>
        <v>10</v>
      </c>
      <c r="M18" s="65"/>
      <c r="N18" s="145">
        <f>VLOOKUP(C18,'Sales Master'!$B$3:$DA$2272,104,0)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SUM(L17:L27)</f>
        <v>10</v>
      </c>
      <c r="M30" s="63">
        <f>SUM(P18:P25)</f>
        <v>2.4000000000000004</v>
      </c>
      <c r="N30" s="133">
        <f>M30/L30</f>
        <v>0.24000000000000005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2"/>
  <sheetViews>
    <sheetView topLeftCell="A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1209</v>
      </c>
      <c r="J10" s="24" t="s">
        <v>27</v>
      </c>
      <c r="K10" s="493">
        <v>202412236</v>
      </c>
      <c r="L10" s="494"/>
    </row>
    <row r="11" spans="2:14" ht="20.149999999999999" customHeight="1" x14ac:dyDescent="0.45">
      <c r="B11" s="477" t="s">
        <v>1211</v>
      </c>
      <c r="C11" s="478"/>
      <c r="D11" s="479"/>
      <c r="E11" s="25"/>
      <c r="F11" s="480" t="str">
        <f>VLOOKUP(H10,'Delivery Location'!A$4:N$460,2,0)</f>
        <v>SELETAR COUNTRY CLUB                                   101, Seletar Club Road. Singapore 798273</v>
      </c>
      <c r="G11" s="481"/>
      <c r="H11" s="482"/>
      <c r="J11" s="26" t="s">
        <v>9</v>
      </c>
      <c r="K11" s="495">
        <v>45637</v>
      </c>
      <c r="L11" s="496"/>
    </row>
    <row r="12" spans="2:14" ht="20.149999999999999" customHeight="1" x14ac:dyDescent="0.45">
      <c r="B12" s="488" t="s">
        <v>1212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2252</v>
      </c>
      <c r="L12" s="464"/>
    </row>
    <row r="13" spans="2:14" ht="20.149999999999999" customHeight="1" x14ac:dyDescent="0.45">
      <c r="B13" s="488" t="s">
        <v>1213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22" ht="48.6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x14ac:dyDescent="0.45">
      <c r="B18" s="259" t="s">
        <v>1277</v>
      </c>
      <c r="C18" s="212" t="str">
        <f>VLOOKUP(B18,'Sales Master'!A$3:B$530,2,0)</f>
        <v>M1036B</v>
      </c>
      <c r="D18" s="518" t="str">
        <f>VLOOKUP(C18,'Sales Master'!B$3:D$530,2,)</f>
        <v>Snow Ice - Mango 雪花冰-芒果</v>
      </c>
      <c r="E18" s="518"/>
      <c r="F18" s="518"/>
      <c r="G18" s="76">
        <v>8</v>
      </c>
      <c r="H18" s="209" t="str">
        <f>VLOOKUP(C18,'Sales Master'!$B$3:$F$2413,5,0)</f>
        <v>2 KG/ Pkt包</v>
      </c>
      <c r="I18" s="563" t="str">
        <f>VLOOKUP(C18,'Sales Master'!$B$3:$E$2413,4,0)</f>
        <v>T1</v>
      </c>
      <c r="J18" s="563"/>
      <c r="K18" s="83">
        <f>VLOOKUP(C18,'Sales Master'!$B$3:$CF$2286,83,0)</f>
        <v>12.8</v>
      </c>
      <c r="L18" s="84">
        <f>K18*G18</f>
        <v>102.4</v>
      </c>
      <c r="M18" s="65"/>
      <c r="N18" s="145">
        <f>VLOOKUP(C18,'Sales Master'!$B$3:$DA$2272,104,0)</f>
        <v>9</v>
      </c>
      <c r="O18" s="145">
        <f>K18-N18</f>
        <v>3.8000000000000007</v>
      </c>
      <c r="P18" s="145">
        <f>O18*G18</f>
        <v>30.400000000000006</v>
      </c>
      <c r="R18" s="19">
        <v>2</v>
      </c>
      <c r="S18" s="19" t="s">
        <v>34</v>
      </c>
      <c r="T18" s="19" t="s">
        <v>62</v>
      </c>
      <c r="V18" s="19">
        <v>6</v>
      </c>
    </row>
    <row r="19" spans="2:22" x14ac:dyDescent="0.45">
      <c r="B19" s="362"/>
      <c r="C19" s="212"/>
      <c r="D19" s="525"/>
      <c r="E19" s="525"/>
      <c r="F19" s="525"/>
      <c r="G19" s="76"/>
      <c r="H19" s="209"/>
      <c r="I19" s="563"/>
      <c r="J19" s="563"/>
      <c r="K19" s="83"/>
      <c r="L19" s="84"/>
      <c r="M19" s="65"/>
      <c r="N19" s="145"/>
      <c r="O19" s="145"/>
      <c r="P19" s="145"/>
    </row>
    <row r="20" spans="2:22" ht="20.149999999999999" customHeight="1" x14ac:dyDescent="0.45">
      <c r="B20" s="259"/>
      <c r="C20" s="212"/>
      <c r="D20" s="498"/>
      <c r="E20" s="498"/>
      <c r="F20" s="498"/>
      <c r="G20" s="76"/>
      <c r="H20" s="209"/>
      <c r="I20" s="563"/>
      <c r="J20" s="563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61"/>
      <c r="E21" s="461"/>
      <c r="F21" s="461"/>
      <c r="G21" s="17"/>
      <c r="H21" s="209"/>
      <c r="I21" s="563"/>
      <c r="J21" s="563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17"/>
      <c r="H22" s="56"/>
      <c r="I22" s="56"/>
      <c r="J22" s="5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17"/>
      <c r="G23" s="17"/>
      <c r="H23" s="56"/>
      <c r="I23" s="56"/>
      <c r="J23" s="56"/>
      <c r="K23" s="83"/>
      <c r="L23" s="84"/>
      <c r="N23" s="145"/>
      <c r="O23" s="145"/>
      <c r="P23" s="145"/>
    </row>
    <row r="24" spans="2:22" ht="20.149999999999999" customHeight="1" x14ac:dyDescent="0.45">
      <c r="B24" s="58"/>
      <c r="C24" s="17"/>
      <c r="D24" s="461"/>
      <c r="E24" s="461"/>
      <c r="F24" s="461"/>
      <c r="G24" s="76"/>
      <c r="H24" s="56"/>
      <c r="I24" s="491"/>
      <c r="J24" s="491"/>
      <c r="K24" s="83"/>
      <c r="L24" s="84"/>
    </row>
    <row r="25" spans="2:22" ht="20.149999999999999" customHeight="1" x14ac:dyDescent="0.45">
      <c r="B25" s="58"/>
      <c r="C25" s="17"/>
      <c r="D25" s="461"/>
      <c r="E25" s="461"/>
      <c r="F25" s="461"/>
      <c r="G25" s="76"/>
      <c r="H25" s="56"/>
      <c r="I25" s="491"/>
      <c r="J25" s="491"/>
      <c r="K25" s="83"/>
      <c r="L25" s="84"/>
    </row>
    <row r="26" spans="2:22" ht="20.149999999999999" customHeight="1" x14ac:dyDescent="0.45">
      <c r="B26" s="58"/>
      <c r="C26" s="17"/>
      <c r="D26" s="461"/>
      <c r="E26" s="461"/>
      <c r="F26" s="461"/>
      <c r="G26" s="76"/>
      <c r="H26" s="56"/>
      <c r="I26" s="491"/>
      <c r="J26" s="491"/>
      <c r="K26" s="83"/>
      <c r="L26" s="84"/>
    </row>
    <row r="27" spans="2:22" ht="20.149999999999999" customHeight="1" x14ac:dyDescent="0.45">
      <c r="B27" s="58"/>
      <c r="C27" s="17"/>
      <c r="D27" s="461"/>
      <c r="E27" s="461"/>
      <c r="F27" s="461"/>
      <c r="G27" s="76"/>
      <c r="H27" s="56"/>
      <c r="I27" s="491"/>
      <c r="J27" s="491"/>
      <c r="K27" s="83"/>
      <c r="L27" s="84"/>
    </row>
    <row r="28" spans="2:22" ht="20.149999999999999" customHeight="1" x14ac:dyDescent="0.45">
      <c r="B28" s="58"/>
      <c r="C28" s="17"/>
      <c r="D28" s="461"/>
      <c r="E28" s="461"/>
      <c r="F28" s="461"/>
      <c r="G28" s="76"/>
      <c r="H28" s="56"/>
      <c r="I28" s="491"/>
      <c r="J28" s="491"/>
      <c r="K28" s="83"/>
      <c r="L28" s="84"/>
    </row>
    <row r="29" spans="2:22" ht="20.149999999999999" customHeight="1" thickBot="1" x14ac:dyDescent="0.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9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102.4</v>
      </c>
      <c r="M30" s="63">
        <f>SUM(P18:P29)</f>
        <v>30.400000000000006</v>
      </c>
      <c r="N30" s="133">
        <f>M30/L30</f>
        <v>0.29687500000000006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102.4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9.2159999999999993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111.616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I21:J21"/>
    <mergeCell ref="D24:F24"/>
    <mergeCell ref="I24:J24"/>
    <mergeCell ref="D25:F25"/>
    <mergeCell ref="I25:J25"/>
    <mergeCell ref="D21:F21"/>
    <mergeCell ref="J34:K34"/>
    <mergeCell ref="J30:K30"/>
    <mergeCell ref="J32:K32"/>
    <mergeCell ref="D26:F26"/>
    <mergeCell ref="I26:J26"/>
    <mergeCell ref="D27:F27"/>
    <mergeCell ref="I27:J27"/>
    <mergeCell ref="D28:F28"/>
    <mergeCell ref="I28:J28"/>
    <mergeCell ref="D20:F20"/>
    <mergeCell ref="I20:J20"/>
    <mergeCell ref="D19:F19"/>
    <mergeCell ref="I19:J19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7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1235</v>
      </c>
      <c r="J10" s="24" t="s">
        <v>27</v>
      </c>
      <c r="K10" s="493">
        <v>202312360</v>
      </c>
      <c r="L10" s="494"/>
    </row>
    <row r="11" spans="2:12" ht="20.149999999999999" customHeight="1" x14ac:dyDescent="0.45">
      <c r="B11" s="477" t="s">
        <v>1386</v>
      </c>
      <c r="C11" s="478"/>
      <c r="D11" s="479"/>
      <c r="E11" s="25"/>
      <c r="F11" s="480" t="str">
        <f>VLOOKUP(H10,'Delivery Location'!A$4:N$460,2,0)</f>
        <v xml:space="preserve">FMD CENTRAL KITCHEN HOT                           10, SENOKO WAY                                LEVEL3    SINGAPORE 758031                  </v>
      </c>
      <c r="G11" s="481"/>
      <c r="H11" s="482"/>
      <c r="J11" s="26" t="s">
        <v>9</v>
      </c>
      <c r="K11" s="495">
        <v>45278</v>
      </c>
      <c r="L11" s="496"/>
    </row>
    <row r="12" spans="2:12" ht="20.149999999999999" customHeight="1" x14ac:dyDescent="0.45">
      <c r="B12" s="488" t="s">
        <v>1236</v>
      </c>
      <c r="C12" s="449"/>
      <c r="D12" s="489"/>
      <c r="E12" s="25"/>
      <c r="F12" s="483"/>
      <c r="G12" s="484"/>
      <c r="H12" s="485"/>
      <c r="J12" s="26" t="s">
        <v>145</v>
      </c>
      <c r="K12" s="463">
        <v>4080371041</v>
      </c>
      <c r="L12" s="464"/>
    </row>
    <row r="13" spans="2:12" ht="20.149999999999999" customHeight="1" x14ac:dyDescent="0.45">
      <c r="B13" s="488" t="s">
        <v>1237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1240</v>
      </c>
      <c r="L13" s="464"/>
    </row>
    <row r="14" spans="2:12" ht="20.149999999999999" customHeight="1" x14ac:dyDescent="0.45">
      <c r="B14" s="488" t="s">
        <v>1238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1239</v>
      </c>
      <c r="C15" s="509"/>
      <c r="D15" s="510"/>
      <c r="E15" s="21"/>
      <c r="F15" s="465"/>
      <c r="G15" s="466"/>
      <c r="H15" s="467"/>
      <c r="J15" s="27" t="s">
        <v>704</v>
      </c>
      <c r="K15" s="468">
        <v>10122506</v>
      </c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>
        <v>4000005592</v>
      </c>
      <c r="C18" s="17" t="str">
        <f>VLOOKUP(B18,'Sales Master'!A$3:B$530,2,0)</f>
        <v>P3013</v>
      </c>
      <c r="D18" s="461" t="str">
        <f>VLOOKUP(C18,'Sales Master'!B$3:D$530,2,)</f>
        <v>Black Glutinous Rice 黑糯米</v>
      </c>
      <c r="E18" s="461"/>
      <c r="F18" s="461"/>
      <c r="G18" s="17">
        <v>1</v>
      </c>
      <c r="H18" s="208" t="str">
        <f>VLOOKUP(C18,'Sales Master'!$B$3:$E$530,4,0)</f>
        <v>INDONESIA</v>
      </c>
      <c r="I18" s="516" t="str">
        <f>VLOOKUP(C18,'Sales Master'!$B$3:F$530,5,0)</f>
        <v>25 KGS</v>
      </c>
      <c r="J18" s="516"/>
      <c r="K18" s="80">
        <f>VLOOKUP(C18,'Sales Master'!$B$3:$K$2395,10,0)</f>
        <v>77</v>
      </c>
      <c r="L18" s="64">
        <f>K18*G18</f>
        <v>77</v>
      </c>
      <c r="N18" s="145">
        <f>VLOOKUP(C18,'Sales Master'!$B$3:$DA$2272,104,0)</f>
        <v>60</v>
      </c>
      <c r="O18" s="145">
        <f>K18-N18</f>
        <v>17</v>
      </c>
      <c r="P18" s="145">
        <f>O18*G18</f>
        <v>17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8"/>
      <c r="I19" s="516"/>
      <c r="J19" s="516"/>
      <c r="K19" s="80"/>
      <c r="L19" s="64"/>
      <c r="N19" s="145"/>
      <c r="O19" s="145"/>
      <c r="P19" s="145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80"/>
      <c r="L24" s="64"/>
    </row>
    <row r="25" spans="2:17" ht="20.149999999999999" customHeight="1" thickBot="1" x14ac:dyDescent="0.5">
      <c r="B25" s="32"/>
      <c r="C25" s="33"/>
      <c r="D25" s="490"/>
      <c r="E25" s="490"/>
      <c r="F25" s="490"/>
      <c r="G25" s="33"/>
      <c r="H25" s="57"/>
      <c r="I25" s="474"/>
      <c r="J25" s="474"/>
      <c r="K25" s="34"/>
      <c r="L25" s="35"/>
    </row>
    <row r="26" spans="2:17" ht="20.149999999999999" customHeight="1" thickBot="1" x14ac:dyDescent="0.5">
      <c r="B26" s="36"/>
      <c r="L26" s="37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55" t="s">
        <v>13</v>
      </c>
      <c r="K27" s="456"/>
      <c r="L27" s="38">
        <f>SUM(L17:L26)</f>
        <v>77</v>
      </c>
      <c r="M27" s="63">
        <f>SUM(P18:P25)</f>
        <v>17</v>
      </c>
      <c r="N27" s="133">
        <f>M27/L27</f>
        <v>0.22077922077922077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57" t="s">
        <v>19</v>
      </c>
      <c r="K29" s="458"/>
      <c r="L29" s="41">
        <f>L27-L28</f>
        <v>77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6.93</v>
      </c>
    </row>
    <row r="31" spans="2:17" ht="20.149999999999999" customHeight="1" thickBot="1" x14ac:dyDescent="0.5">
      <c r="B31" s="10" t="s">
        <v>700</v>
      </c>
      <c r="C31" s="6"/>
      <c r="D31" s="6"/>
      <c r="E31" s="6"/>
      <c r="F31" s="6"/>
      <c r="G31" s="6"/>
      <c r="H31" s="6"/>
      <c r="I31" s="6"/>
      <c r="J31" s="459" t="s">
        <v>21</v>
      </c>
      <c r="K31" s="460"/>
      <c r="L31" s="43">
        <f>L29+L30</f>
        <v>83.93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 t="s">
        <v>460</v>
      </c>
    </row>
    <row r="33" spans="2:12" ht="20.149999999999999" customHeight="1" x14ac:dyDescent="0.45">
      <c r="B33" s="144" t="s">
        <v>690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J35" s="45"/>
      <c r="K35" s="45"/>
      <c r="L35" s="46"/>
    </row>
    <row r="36" spans="2:12" ht="20.149999999999999" customHeight="1" x14ac:dyDescent="0.45">
      <c r="B36" s="36"/>
      <c r="J36" s="19" t="s">
        <v>26</v>
      </c>
      <c r="L36" s="37"/>
    </row>
    <row r="37" spans="2:12" ht="20.149999999999999" customHeight="1" x14ac:dyDescent="0.45">
      <c r="B37" s="44"/>
      <c r="C37" s="45"/>
      <c r="D37" s="45"/>
      <c r="J37" s="19" t="s">
        <v>714</v>
      </c>
      <c r="L37" s="37"/>
    </row>
    <row r="38" spans="2:12" ht="20.149999999999999" customHeight="1" x14ac:dyDescent="0.45">
      <c r="B38" s="36" t="s">
        <v>25</v>
      </c>
      <c r="J38" s="19" t="s">
        <v>715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0"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J31:K31"/>
    <mergeCell ref="D24:F24"/>
    <mergeCell ref="I24:J24"/>
    <mergeCell ref="D25:F25"/>
    <mergeCell ref="I25:J25"/>
    <mergeCell ref="J27:K27"/>
    <mergeCell ref="J29:K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26" zoomScaleNormal="100" workbookViewId="0"/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3" width="19.26953125" style="19" customWidth="1"/>
    <col min="14" max="15" width="12.54296875" style="19"/>
    <col min="16" max="16" width="12.81640625" style="19" bestFit="1" customWidth="1"/>
    <col min="17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1245</v>
      </c>
      <c r="J10" s="24" t="s">
        <v>27</v>
      </c>
      <c r="K10" s="493">
        <v>202501207</v>
      </c>
      <c r="L10" s="494"/>
    </row>
    <row r="11" spans="2:15" ht="20.149999999999999" customHeight="1" x14ac:dyDescent="0.45">
      <c r="B11" s="477" t="s">
        <v>1246</v>
      </c>
      <c r="C11" s="478"/>
      <c r="D11" s="479"/>
      <c r="E11" s="25"/>
      <c r="F11" s="480" t="str">
        <f>VLOOKUP(H10,'Delivery Location'!A$4:N$460,2,0)</f>
        <v xml:space="preserve">DELI ASIA (S) PTE LTD                                      1, Woodlands Height #01-03,                         #06-02    SINGAPORE 737859                  </v>
      </c>
      <c r="G11" s="481"/>
      <c r="H11" s="482"/>
      <c r="J11" s="26" t="s">
        <v>9</v>
      </c>
      <c r="K11" s="495">
        <v>45666</v>
      </c>
      <c r="L11" s="496"/>
    </row>
    <row r="12" spans="2:15" ht="20.149999999999999" customHeight="1" x14ac:dyDescent="0.45">
      <c r="B12" s="488" t="s">
        <v>1286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2311</v>
      </c>
      <c r="L12" s="464"/>
    </row>
    <row r="13" spans="2:15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445</v>
      </c>
      <c r="L13" s="464"/>
      <c r="N13" s="19" t="s">
        <v>1248</v>
      </c>
      <c r="O13" s="19" t="s">
        <v>2188</v>
      </c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2145</v>
      </c>
      <c r="O14" s="19" t="s">
        <v>2189</v>
      </c>
    </row>
    <row r="15" spans="2:15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704</v>
      </c>
      <c r="K15" s="468" t="s">
        <v>34</v>
      </c>
      <c r="L15" s="469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848</v>
      </c>
      <c r="D18" s="461" t="str">
        <f>VLOOKUP(C18,'Sales Master'!B$3:D$530,2,)</f>
        <v>Green Bean 绿豆</v>
      </c>
      <c r="E18" s="461"/>
      <c r="F18" s="461"/>
      <c r="G18" s="17">
        <v>3</v>
      </c>
      <c r="H18" s="208" t="str">
        <f>VLOOKUP(C18,'Sales Master'!$B$3:$E$530,4,0)</f>
        <v>-</v>
      </c>
      <c r="I18" s="516" t="str">
        <f>VLOOKUP(C18,'Sales Master'!$B$3:F$530,5,0)</f>
        <v>25 KGS</v>
      </c>
      <c r="J18" s="516"/>
      <c r="K18" s="80">
        <f>VLOOKUP(C18,'Sales Master'!$B$3:$J$2273,9,0)</f>
        <v>57</v>
      </c>
      <c r="L18" s="64">
        <f>K18*G18</f>
        <v>171</v>
      </c>
      <c r="N18" s="145">
        <f>VLOOKUP(C18,'Sales Master'!$B$3:$DA$2272,104,0)</f>
        <v>43.75</v>
      </c>
      <c r="O18" s="145">
        <f>K18-N18</f>
        <v>13.25</v>
      </c>
      <c r="P18" s="145">
        <f>O18*G18</f>
        <v>39.75</v>
      </c>
      <c r="Q18" s="63"/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208"/>
      <c r="I19" s="516"/>
      <c r="J19" s="516"/>
      <c r="K19" s="80"/>
      <c r="L19" s="64"/>
      <c r="N19" s="145"/>
      <c r="O19" s="145"/>
      <c r="P19" s="145"/>
      <c r="Q19" s="63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80"/>
      <c r="L27" s="64"/>
    </row>
    <row r="28" spans="2:17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171</v>
      </c>
      <c r="M30" s="63">
        <f>SUM(P18:P27)</f>
        <v>39.75</v>
      </c>
      <c r="N30" s="133">
        <f>M30/L30</f>
        <v>0.23245614035087719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171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15.389999999999999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186.39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460</v>
      </c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714</v>
      </c>
      <c r="L40" s="37"/>
    </row>
    <row r="41" spans="2:12" ht="20.149999999999999" customHeight="1" x14ac:dyDescent="0.45">
      <c r="B41" s="36" t="s">
        <v>25</v>
      </c>
      <c r="J41" s="19" t="s">
        <v>715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202E-4B4C-4082-A07A-7DD663DE1170}">
  <sheetPr>
    <tabColor rgb="FF7030A0"/>
    <pageSetUpPr fitToPage="1"/>
  </sheetPr>
  <dimension ref="B1:V1048576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1284</v>
      </c>
      <c r="J10" s="24" t="s">
        <v>27</v>
      </c>
      <c r="K10" s="493">
        <v>202501097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ION Orchard @ Drink Stall                          2, Orchard Turn #B4-03/04        Singapore 238801                                           </v>
      </c>
      <c r="G11" s="481"/>
      <c r="H11" s="482"/>
      <c r="J11" s="26" t="s">
        <v>9</v>
      </c>
      <c r="K11" s="511">
        <v>45661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831</v>
      </c>
      <c r="D18" s="461" t="str">
        <f>VLOOKUP(C18,'Sales Master'!B$3:D$530,2,)</f>
        <v>Chin Chow  仙草</v>
      </c>
      <c r="E18" s="461"/>
      <c r="F18" s="461"/>
      <c r="G18" s="76">
        <v>9</v>
      </c>
      <c r="H18" s="196" t="str">
        <f>VLOOKUP(C18,'Sales Master'!$B$3:$F$2413,5,0)</f>
        <v>4 KG/ Pkt包</v>
      </c>
      <c r="I18" s="462" t="str">
        <f>VLOOKUP(C18,'Sales Master'!$B$3:$E$2413,4,0)</f>
        <v>TSM</v>
      </c>
      <c r="J18" s="462"/>
      <c r="K18" s="83">
        <f>VLOOKUP(C18,'Sales Master'!B$3:I$530,8,0)</f>
        <v>6</v>
      </c>
      <c r="L18" s="84">
        <f>K18*G18</f>
        <v>54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870</v>
      </c>
      <c r="D19" s="461" t="str">
        <f>VLOOKUP(C19,'Sales Master'!B$3:D$530,2,)</f>
        <v>Pearl Barley 薏米</v>
      </c>
      <c r="E19" s="461"/>
      <c r="F19" s="461"/>
      <c r="G19" s="76">
        <v>1</v>
      </c>
      <c r="H19" s="196" t="str">
        <f>VLOOKUP(C19,'Sales Master'!$B$3:$F$2413,5,0)</f>
        <v>5 KG</v>
      </c>
      <c r="I19" s="462" t="str">
        <f>VLOOKUP(C19,'Sales Master'!$B$3:$E$2413,4,0)</f>
        <v>-</v>
      </c>
      <c r="J19" s="462"/>
      <c r="K19" s="83">
        <f>VLOOKUP(C19,'Sales Master'!B$3:I$530,8,0)</f>
        <v>10</v>
      </c>
      <c r="L19" s="84">
        <f>K19*G19</f>
        <v>10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96"/>
      <c r="I20" s="462"/>
      <c r="J20" s="462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6"/>
      <c r="J21" s="446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6"/>
      <c r="J22" s="446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454"/>
      <c r="E29" s="454"/>
      <c r="F29" s="45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64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64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5.76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69.760000000000005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39" priority="3"/>
  </conditionalFormatting>
  <conditionalFormatting sqref="C19">
    <cfRule type="duplicateValues" dxfId="38" priority="5"/>
  </conditionalFormatting>
  <conditionalFormatting sqref="C20">
    <cfRule type="duplicateValues" dxfId="37" priority="4"/>
  </conditionalFormatting>
  <conditionalFormatting sqref="C21">
    <cfRule type="duplicateValues" dxfId="36" priority="2"/>
  </conditionalFormatting>
  <conditionalFormatting sqref="C22">
    <cfRule type="duplicateValues" dxfId="35" priority="1"/>
  </conditionalFormatting>
  <conditionalFormatting sqref="C24">
    <cfRule type="duplicateValues" dxfId="34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41"/>
  <sheetViews>
    <sheetView topLeftCell="B1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1305</v>
      </c>
      <c r="J10" s="24" t="s">
        <v>27</v>
      </c>
      <c r="K10" s="493">
        <v>202501164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Punggol OASIS (Gourmet Paradise) - Drink Stall                                                681 Punggol Drive #04-01               OASIS Terraces, Singapore 820681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1171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76">
        <v>2</v>
      </c>
      <c r="H18" s="186" t="str">
        <f>VLOOKUP(C18,'Sales Master'!$B$3:$F$2481,5,0)</f>
        <v>12 CAN/CARTON</v>
      </c>
      <c r="I18" s="497" t="str">
        <f>VLOOKUP(C18,'Sales Master'!$B$3:$E$2481,4,0)</f>
        <v>Statue</v>
      </c>
      <c r="J18" s="497"/>
      <c r="K18" s="30">
        <f>VLOOKUP(C18,'Sales Master'!B$3:AT$530,45,0)</f>
        <v>22</v>
      </c>
      <c r="L18" s="64">
        <f>K18*G18</f>
        <v>44</v>
      </c>
      <c r="M18" s="65"/>
      <c r="N18" s="145">
        <f>VLOOKUP(C18,'Sales Master'!$B$3:$DA$2272,104,0)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44</v>
      </c>
      <c r="M29" s="63">
        <f>SUM(P18:P25)-L29*0.02</f>
        <v>10.119999999999999</v>
      </c>
      <c r="N29" s="133">
        <f>M29/L29</f>
        <v>0.22999999999999998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I20:J20"/>
    <mergeCell ref="I22:J22"/>
    <mergeCell ref="I23:J23"/>
    <mergeCell ref="D20:F20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4:F24"/>
    <mergeCell ref="I24:J24"/>
    <mergeCell ref="I21:J21"/>
    <mergeCell ref="J31:K31"/>
    <mergeCell ref="J33:K33"/>
    <mergeCell ref="D25:F25"/>
    <mergeCell ref="I25:J25"/>
    <mergeCell ref="D27:F27"/>
    <mergeCell ref="I27:J27"/>
    <mergeCell ref="J29:K29"/>
    <mergeCell ref="D23:F23"/>
    <mergeCell ref="D21:F21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N44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1332</v>
      </c>
      <c r="J10" s="24" t="s">
        <v>27</v>
      </c>
      <c r="K10" s="493">
        <v>202501153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30 SEMBAWANG DRIVE                           #B1-38 SUN PLAZA,                   SINGAPORE 757713</v>
      </c>
      <c r="G11" s="481"/>
      <c r="H11" s="482"/>
      <c r="J11" s="26" t="s">
        <v>9</v>
      </c>
      <c r="K11" s="495">
        <v>45664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212" t="s">
        <v>754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 t="s">
        <v>1336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</row>
    <row r="19" spans="2:13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4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 t="shared" ref="L19" si="0">K19*G19</f>
        <v>14</v>
      </c>
      <c r="M19" s="65"/>
    </row>
    <row r="20" spans="2:13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</row>
    <row r="21" spans="2:13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</row>
    <row r="22" spans="2:13" ht="20.149999999999999" customHeight="1" x14ac:dyDescent="0.45">
      <c r="B22" s="29"/>
      <c r="C22" s="212"/>
      <c r="G22" s="76"/>
      <c r="H22" s="186"/>
      <c r="I22" s="208"/>
      <c r="J22" s="208"/>
      <c r="K22" s="30"/>
      <c r="L22" s="64"/>
      <c r="M22" s="65"/>
    </row>
    <row r="23" spans="2:13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</row>
    <row r="24" spans="2:13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</row>
    <row r="25" spans="2:13" ht="20.149999999999999" customHeight="1" x14ac:dyDescent="0.45">
      <c r="B25" s="29"/>
      <c r="C25" s="212"/>
      <c r="D25" s="498"/>
      <c r="E25" s="498"/>
      <c r="F25" s="498"/>
      <c r="G25" s="76"/>
      <c r="H25" s="186"/>
      <c r="I25" s="497"/>
      <c r="J25" s="497"/>
      <c r="K25" s="30"/>
      <c r="L25" s="64"/>
      <c r="M25" s="65"/>
    </row>
    <row r="26" spans="2:13" ht="20.149999999999999" customHeight="1" x14ac:dyDescent="0.45">
      <c r="B26" s="29"/>
      <c r="C26" s="212"/>
      <c r="D26" s="461"/>
      <c r="E26" s="461"/>
      <c r="F26" s="461"/>
      <c r="G26" s="76"/>
      <c r="H26" s="186"/>
      <c r="I26" s="497"/>
      <c r="J26" s="497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64"/>
      <c r="M27" s="65"/>
    </row>
    <row r="28" spans="2:13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65"/>
      <c r="I29" s="56"/>
      <c r="J29" s="56"/>
      <c r="K29" s="30"/>
      <c r="L29" s="64"/>
      <c r="M29" s="65"/>
    </row>
    <row r="30" spans="2:13" ht="20.149999999999999" customHeight="1" thickBot="1" x14ac:dyDescent="0.5">
      <c r="B30" s="32"/>
      <c r="C30" s="33"/>
      <c r="D30" s="490"/>
      <c r="E30" s="490"/>
      <c r="F30" s="490"/>
      <c r="G30" s="33"/>
      <c r="H30" s="57"/>
      <c r="I30" s="474"/>
      <c r="J30" s="474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SUM(L14:L28)</f>
        <v>31</v>
      </c>
      <c r="M32" s="63">
        <f>SUM(P18:P28)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0:F20"/>
    <mergeCell ref="I20:J20"/>
    <mergeCell ref="D18:F18"/>
    <mergeCell ref="I18:J18"/>
    <mergeCell ref="D21:F21"/>
    <mergeCell ref="I21:J21"/>
    <mergeCell ref="D19:F19"/>
    <mergeCell ref="I19:J19"/>
    <mergeCell ref="D28:F28"/>
    <mergeCell ref="I28:J28"/>
    <mergeCell ref="J34:K34"/>
    <mergeCell ref="J36:K36"/>
    <mergeCell ref="D30:F30"/>
    <mergeCell ref="I30:J30"/>
    <mergeCell ref="J32:K32"/>
    <mergeCell ref="D25:F25"/>
    <mergeCell ref="I25:J25"/>
    <mergeCell ref="D26:F26"/>
    <mergeCell ref="I26:J26"/>
    <mergeCell ref="D27:F27"/>
    <mergeCell ref="I27:J27"/>
  </mergeCells>
  <pageMargins left="0.51181102362204722" right="0.39370078740157483" top="0" bottom="0" header="0.31496062992125984" footer="0.31496062992125984"/>
  <pageSetup paperSize="9" scale="74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9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1340</v>
      </c>
      <c r="J10" s="24" t="s">
        <v>27</v>
      </c>
      <c r="K10" s="493">
        <v>202307212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 xml:space="preserve">R&amp;B TEA SINGAPORE                                                         SINOPEC, 150 WOODLANDS AVENUE 5  SINGAPORE 739375             </v>
      </c>
      <c r="G11" s="481"/>
      <c r="H11" s="482"/>
      <c r="J11" s="26" t="s">
        <v>9</v>
      </c>
      <c r="K11" s="495">
        <v>45118</v>
      </c>
      <c r="L11" s="496"/>
      <c r="N11" s="17" t="s">
        <v>754</v>
      </c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7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754</v>
      </c>
      <c r="D18" s="461" t="str">
        <f>VLOOKUP(C18,'Sales Master'!B$3:D$530,2,)</f>
        <v>Grass Jelly 仙草冻</v>
      </c>
      <c r="E18" s="461"/>
      <c r="F18" s="461"/>
      <c r="G18" s="76">
        <v>7</v>
      </c>
      <c r="H18" s="186" t="str">
        <f>VLOOKUP(C18,'Sales Master'!$B$3:$F$2481,5,0)</f>
        <v>1 KG/ Box盒</v>
      </c>
      <c r="I18" s="497" t="str">
        <f>VLOOKUP(C18,'Sales Master'!$B$3:$E$2481,4,0)</f>
        <v>DO!</v>
      </c>
      <c r="J18" s="497"/>
      <c r="K18" s="30">
        <f>VLOOKUP(C18,'Sales Master'!B$3:AD$530,29,0)</f>
        <v>3.5</v>
      </c>
      <c r="L18" s="64">
        <f>K18*G18</f>
        <v>24.5</v>
      </c>
      <c r="M18" s="65"/>
      <c r="N18" s="145">
        <f>VLOOKUP(C18,'Sales Master'!$B$3:$DA$2272,104,0)</f>
        <v>1.0900000000000001</v>
      </c>
      <c r="O18" s="145">
        <f>K18-N18</f>
        <v>2.41</v>
      </c>
      <c r="P18" s="145">
        <f>O18*G18</f>
        <v>16.87</v>
      </c>
    </row>
    <row r="19" spans="2:16" ht="20.149999999999999" customHeight="1" x14ac:dyDescent="0.45">
      <c r="B19" s="29"/>
      <c r="C19" s="212" t="s">
        <v>1336</v>
      </c>
      <c r="D19" s="461" t="str">
        <f>VLOOKUP(C19,'Sales Master'!B$3:D$530,2,)</f>
        <v>Passion Fruit Puree 百香果酱</v>
      </c>
      <c r="E19" s="461"/>
      <c r="F19" s="461"/>
      <c r="G19" s="76">
        <v>2</v>
      </c>
      <c r="H19" s="186" t="str">
        <f>VLOOKUP(C19,'Sales Master'!$B$3:$F$2481,5,0)</f>
        <v>1 KG/ Box盒</v>
      </c>
      <c r="I19" s="497" t="str">
        <f>VLOOKUP(C19,'Sales Master'!$B$3:$E$2481,4,0)</f>
        <v>-</v>
      </c>
      <c r="J19" s="497"/>
      <c r="K19" s="30">
        <f>VLOOKUP(C19,'Sales Master'!B$3:AD$530,29,0)</f>
        <v>8.5</v>
      </c>
      <c r="L19" s="64">
        <f>K19*G19</f>
        <v>17</v>
      </c>
      <c r="M19" s="65"/>
      <c r="N19" s="145">
        <f>VLOOKUP(C19,'Sales Master'!$B$3:$DA$2272,104,0)</f>
        <v>4.8</v>
      </c>
      <c r="O19" s="145">
        <f>K19-N19</f>
        <v>3.7</v>
      </c>
      <c r="P19" s="145">
        <f>O19*G19</f>
        <v>7.4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SUM(L14:L27)</f>
        <v>41.5</v>
      </c>
      <c r="M31" s="63">
        <f>SUM(P18:P27)</f>
        <v>24.270000000000003</v>
      </c>
      <c r="N31" s="133">
        <f>M31/L31</f>
        <v>0.58481927710843384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41.5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3.7349999999999999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45.234999999999999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2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90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>
        <v>202302372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1343</v>
      </c>
      <c r="J10" s="24" t="s">
        <v>27</v>
      </c>
      <c r="K10" s="493">
        <v>202501117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  2 BAYFRONT AVENUE                              #B2-49/53 MARINA BAY SANDS, SINGAPORE 018972</v>
      </c>
      <c r="G11" s="481"/>
      <c r="H11" s="482"/>
      <c r="J11" s="26" t="s">
        <v>9</v>
      </c>
      <c r="K11" s="495">
        <v>45663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7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47" t="s">
        <v>1777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7" t="s">
        <v>1294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10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 t="shared" ref="L19" si="0">K19*G19</f>
        <v>35</v>
      </c>
      <c r="M19" s="65"/>
      <c r="N19" s="147" t="s">
        <v>810</v>
      </c>
    </row>
    <row r="20" spans="2:16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10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 t="shared" ref="L20" si="1">K20*G20</f>
        <v>8</v>
      </c>
      <c r="M20" s="65"/>
      <c r="N20" s="147" t="s">
        <v>1336</v>
      </c>
    </row>
    <row r="21" spans="2:16" ht="20.149999999999999" customHeight="1" x14ac:dyDescent="0.45">
      <c r="B21" s="29"/>
      <c r="C21" s="212"/>
      <c r="D21" s="498"/>
      <c r="E21" s="498"/>
      <c r="F21" s="498"/>
      <c r="G21" s="76"/>
      <c r="H21" s="186"/>
      <c r="I21" s="497"/>
      <c r="J21" s="497"/>
      <c r="K21" s="30"/>
      <c r="L21" s="64"/>
      <c r="M21" s="65"/>
      <c r="N21" s="147" t="s">
        <v>754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7" t="s">
        <v>1742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212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212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6"/>
      <c r="I25" s="516"/>
      <c r="J25" s="516"/>
      <c r="K25" s="30"/>
      <c r="L25" s="64"/>
      <c r="M25" s="65"/>
      <c r="N25" s="212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212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60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J32:K32"/>
    <mergeCell ref="J34:K34"/>
    <mergeCell ref="D26:F26"/>
    <mergeCell ref="I26:J26"/>
    <mergeCell ref="D28:F28"/>
    <mergeCell ref="I28:J28"/>
    <mergeCell ref="J30:K30"/>
    <mergeCell ref="D19:F19"/>
    <mergeCell ref="I19:J19"/>
    <mergeCell ref="D18:F18"/>
    <mergeCell ref="I18:J18"/>
    <mergeCell ref="D25:F25"/>
    <mergeCell ref="I25:J25"/>
    <mergeCell ref="D23:F23"/>
    <mergeCell ref="I23:J23"/>
    <mergeCell ref="D22:F22"/>
    <mergeCell ref="I22:J22"/>
    <mergeCell ref="D20:F20"/>
    <mergeCell ref="I20:J20"/>
    <mergeCell ref="D21:F21"/>
    <mergeCell ref="I21:J21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1344</v>
      </c>
      <c r="J10" s="24" t="s">
        <v>27</v>
      </c>
      <c r="K10" s="493">
        <v>202405008</v>
      </c>
      <c r="L10" s="494"/>
      <c r="N10" s="19" t="s">
        <v>1777</v>
      </c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NTU, 76 NANYANG DRIVE #02-03 SINGAPORE 637331</v>
      </c>
      <c r="G11" s="481"/>
      <c r="H11" s="482"/>
      <c r="J11" s="26" t="s">
        <v>9</v>
      </c>
      <c r="K11" s="495">
        <v>45414</v>
      </c>
      <c r="L11" s="496"/>
      <c r="N11" s="19" t="s">
        <v>754</v>
      </c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1742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1336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1769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8.5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4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14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6"/>
      <c r="I24" s="516"/>
      <c r="J24" s="516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22.5</v>
      </c>
      <c r="M29" s="63">
        <f>SUM(P18:P28)</f>
        <v>13.34</v>
      </c>
      <c r="N29" s="133">
        <f>M29/L29</f>
        <v>0.59288888888888891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22.5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2.0249999999999999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24.524999999999999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A1:P42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460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1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1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1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1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1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1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1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1345</v>
      </c>
      <c r="J10" s="24" t="s">
        <v>27</v>
      </c>
      <c r="K10" s="493">
        <v>202412688</v>
      </c>
      <c r="L10" s="494"/>
      <c r="N10" s="147" t="s">
        <v>1742</v>
      </c>
    </row>
    <row r="11" spans="1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        9 RAFFLES BOULEVARD                                #01-K15 MILLENIA WALK,        SINGAPORE 039596</v>
      </c>
      <c r="G11" s="481"/>
      <c r="H11" s="482"/>
      <c r="J11" s="26" t="s">
        <v>9</v>
      </c>
      <c r="K11" s="495">
        <v>45657</v>
      </c>
      <c r="L11" s="496"/>
      <c r="N11" s="147" t="s">
        <v>1777</v>
      </c>
    </row>
    <row r="12" spans="1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47" t="s">
        <v>754</v>
      </c>
    </row>
    <row r="13" spans="1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47" t="s">
        <v>1336</v>
      </c>
    </row>
    <row r="14" spans="1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47" t="s">
        <v>810</v>
      </c>
    </row>
    <row r="15" spans="1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47" t="s">
        <v>1769</v>
      </c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3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25.5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11.100000000000001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4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14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39.5</v>
      </c>
      <c r="M30" s="63">
        <f>SUM(P18:P26)</f>
        <v>20.740000000000002</v>
      </c>
      <c r="N30" s="133">
        <f>M30/L30</f>
        <v>0.52506329113924055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39.5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3.5549999999999997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43.055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2">
    <mergeCell ref="I17:J17"/>
    <mergeCell ref="D19:F19"/>
    <mergeCell ref="D18:F18"/>
    <mergeCell ref="I18:J18"/>
    <mergeCell ref="D17:F17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0:K30"/>
    <mergeCell ref="J32:K32"/>
    <mergeCell ref="J34:K34"/>
    <mergeCell ref="D28:F28"/>
    <mergeCell ref="I28:J28"/>
    <mergeCell ref="D26:F26"/>
    <mergeCell ref="I26:J26"/>
    <mergeCell ref="D20:F20"/>
    <mergeCell ref="I20:J20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45"/>
  <sheetViews>
    <sheetView topLeftCell="B12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9.26953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126</v>
      </c>
      <c r="J10" s="24" t="s">
        <v>27</v>
      </c>
      <c r="K10" s="493">
        <v>202401053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Fork &amp; Spoon - Dessert                                10, Sinaran Drive #04-14 to 19,56 to 73. Novena Square 2 Singapore 307506                                            </v>
      </c>
      <c r="G11" s="481"/>
      <c r="H11" s="482"/>
      <c r="J11" s="26" t="s">
        <v>9</v>
      </c>
      <c r="K11" s="495">
        <v>45294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829</v>
      </c>
      <c r="D18" s="461" t="str">
        <f>VLOOKUP(C18,'Sales Master'!B$3:D$530,2,)</f>
        <v>Atap Seeds in Syrup 亚嗒子</v>
      </c>
      <c r="E18" s="461"/>
      <c r="F18" s="461"/>
      <c r="G18" s="76">
        <v>1</v>
      </c>
      <c r="H18" s="186" t="str">
        <f>VLOOKUP(C18,'Sales Master'!$B$3:$F$2413,5,0)</f>
        <v>NW(1.6:0.6) 2.2kg/ Bag包</v>
      </c>
      <c r="I18" s="497" t="str">
        <f>VLOOKUP(C18,'Sales Master'!$B$3:$E$2413,4,0)</f>
        <v>DO!</v>
      </c>
      <c r="J18" s="497"/>
      <c r="K18" s="30">
        <f>VLOOKUP(C18,'Sales Master'!B$3:AP$530,41,0)</f>
        <v>9.5</v>
      </c>
      <c r="L18" s="64">
        <f>K18*G18</f>
        <v>9.5</v>
      </c>
      <c r="M18" s="65"/>
      <c r="N18" s="145">
        <f>VLOOKUP(C18,'Sales Master'!$B$3:$DA$2272,104,0)</f>
        <v>7.3</v>
      </c>
      <c r="O18" s="145">
        <f>K18-N18</f>
        <v>2.2000000000000002</v>
      </c>
      <c r="P18" s="145">
        <f>O18*G18</f>
        <v>2.2000000000000002</v>
      </c>
    </row>
    <row r="19" spans="2:16" ht="20.149999999999999" customHeight="1" x14ac:dyDescent="0.45">
      <c r="B19" s="29"/>
      <c r="C19" s="212" t="s">
        <v>841</v>
      </c>
      <c r="D19" s="461" t="str">
        <f>VLOOKUP(C19,'Sales Master'!B$3:D$530,2,)</f>
        <v>Small Red Bean 小红豆</v>
      </c>
      <c r="E19" s="461"/>
      <c r="F19" s="461"/>
      <c r="G19" s="76">
        <v>2</v>
      </c>
      <c r="H19" s="186" t="str">
        <f>VLOOKUP(C19,'Sales Master'!$B$3:$F$2413,5,0)</f>
        <v>5 KG</v>
      </c>
      <c r="I19" s="497" t="str">
        <f>VLOOKUP(C19,'Sales Master'!$B$3:$E$2413,4,0)</f>
        <v>-</v>
      </c>
      <c r="J19" s="497"/>
      <c r="K19" s="30">
        <f>VLOOKUP(C19,'Sales Master'!B$3:AP$530,41,0)</f>
        <v>17.5</v>
      </c>
      <c r="L19" s="64">
        <f>K19*G19</f>
        <v>35</v>
      </c>
      <c r="M19" s="65"/>
      <c r="N19" s="145">
        <f>VLOOKUP(C19,'Sales Master'!$B$3:$DA$2272,104,0)</f>
        <v>12.75</v>
      </c>
      <c r="O19" s="145">
        <f>K19-N19</f>
        <v>4.75</v>
      </c>
      <c r="P19" s="145">
        <f>O19*G19</f>
        <v>9.5</v>
      </c>
    </row>
    <row r="20" spans="2:16" ht="20.149999999999999" customHeight="1" x14ac:dyDescent="0.45">
      <c r="B20" s="29"/>
      <c r="C20" s="212" t="s">
        <v>990</v>
      </c>
      <c r="D20" s="461" t="str">
        <f>VLOOKUP(C20,'Sales Master'!B$3:D$530,2,)</f>
        <v>Coconut Milk 椰浆</v>
      </c>
      <c r="E20" s="461"/>
      <c r="F20" s="461"/>
      <c r="G20" s="76">
        <v>1</v>
      </c>
      <c r="H20" s="186" t="str">
        <f>VLOOKUP(C20,'Sales Master'!$B$3:$F$2413,5,0)</f>
        <v>(1L x 12bag)/箱</v>
      </c>
      <c r="I20" s="497" t="str">
        <f>VLOOKUP(C20,'Sales Master'!$B$3:$E$2413,4,0)</f>
        <v>Kara UHT</v>
      </c>
      <c r="J20" s="497"/>
      <c r="K20" s="30">
        <f>VLOOKUP(C20,'Sales Master'!B$3:AP$530,41,0)</f>
        <v>42</v>
      </c>
      <c r="L20" s="64">
        <f>K20*G20</f>
        <v>42</v>
      </c>
      <c r="M20" s="65"/>
      <c r="N20" s="145">
        <f>VLOOKUP(C20,'Sales Master'!$B$3:$DA$2272,104,0)</f>
        <v>35.799999999999997</v>
      </c>
      <c r="O20" s="145">
        <f>K20-N20</f>
        <v>6.2000000000000028</v>
      </c>
      <c r="P20" s="145">
        <f>O20*G20</f>
        <v>6.2000000000000028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6"/>
      <c r="I28" s="497"/>
      <c r="J28" s="497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17"/>
      <c r="H29" s="186"/>
      <c r="I29" s="497"/>
      <c r="J29" s="497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86"/>
      <c r="I30" s="516"/>
      <c r="J30" s="516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SUM(L17:L31)</f>
        <v>86.5</v>
      </c>
      <c r="M33" s="63">
        <f>SUM(P18:P24)</f>
        <v>17.900000000000002</v>
      </c>
      <c r="N33" s="133">
        <f>M33/L33</f>
        <v>0.20693641618497113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86.5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7.7850000000000001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94.284999999999997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  <mergeCell ref="I18:J18"/>
    <mergeCell ref="I19:J19"/>
    <mergeCell ref="I20:J20"/>
    <mergeCell ref="I21:J21"/>
    <mergeCell ref="I22:J22"/>
    <mergeCell ref="D18:F18"/>
    <mergeCell ref="D19:F19"/>
    <mergeCell ref="D20:F20"/>
    <mergeCell ref="D21:F21"/>
    <mergeCell ref="D22:F22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8:J28"/>
    <mergeCell ref="I29:J29"/>
    <mergeCell ref="D27:F27"/>
    <mergeCell ref="D28:F28"/>
    <mergeCell ref="D29:F29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theme="7"/>
    <pageSetUpPr fitToPage="1"/>
  </sheetPr>
  <dimension ref="B1:R44"/>
  <sheetViews>
    <sheetView topLeftCell="A23" zoomScaleNormal="100" workbookViewId="0">
      <selection activeCell="G22" sqref="G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8.7265625" style="19" customWidth="1"/>
    <col min="9" max="9" width="0.7265625" style="19" customWidth="1"/>
    <col min="10" max="10" width="18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  <c r="H9" s="19" t="s">
        <v>1175</v>
      </c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1349</v>
      </c>
      <c r="J10" s="24" t="s">
        <v>27</v>
      </c>
      <c r="K10" s="493">
        <v>202501130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Tiong Bahru Soya Bean                               52 Tiong Bahru Road #02-63.        Singapore 168716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197" t="s">
        <v>3</v>
      </c>
      <c r="D17" s="538" t="s">
        <v>4</v>
      </c>
      <c r="E17" s="528"/>
      <c r="F17" s="539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9" t="s">
        <v>1351</v>
      </c>
      <c r="O17" s="19" t="s">
        <v>1352</v>
      </c>
    </row>
    <row r="18" spans="2:18" ht="20.149999999999999" customHeight="1" x14ac:dyDescent="0.45">
      <c r="B18" s="29"/>
      <c r="C18" s="212" t="s">
        <v>909</v>
      </c>
      <c r="D18" s="492" t="str">
        <f>VLOOKUP(C18,'Sales Master'!B$3:D$530,2,)</f>
        <v>Honey Pearl - Black 蜜糖珍珠</v>
      </c>
      <c r="E18" s="492"/>
      <c r="F18" s="492"/>
      <c r="G18" s="76">
        <v>3</v>
      </c>
      <c r="H18" s="186" t="str">
        <f>VLOOKUP(C18,'Sales Master'!$B$3:$F$2481,5,0)</f>
        <v>3 kgs</v>
      </c>
      <c r="I18" s="497" t="str">
        <f>VLOOKUP(C18,'Sales Master'!$B$3:$E$2481,4,0)</f>
        <v>9 MM</v>
      </c>
      <c r="J18" s="497"/>
      <c r="K18" s="30">
        <f>VLOOKUP(C18,'Sales Master'!B$3:AE$530,30,0)</f>
        <v>10</v>
      </c>
      <c r="L18" s="64">
        <f>K18*G18</f>
        <v>30</v>
      </c>
      <c r="M18" s="65"/>
      <c r="N18" s="19" t="s">
        <v>1016</v>
      </c>
      <c r="O18" s="19" t="s">
        <v>240</v>
      </c>
      <c r="R18" s="63"/>
    </row>
    <row r="19" spans="2:18" ht="20.149999999999999" customHeight="1" x14ac:dyDescent="0.45">
      <c r="B19" s="29"/>
      <c r="C19" s="212" t="s">
        <v>1014</v>
      </c>
      <c r="D19" s="492" t="str">
        <f>VLOOKUP(C19,'Sales Master'!B$3:D$530,2,)</f>
        <v>Fine Sugar 白糖</v>
      </c>
      <c r="E19" s="492"/>
      <c r="F19" s="492"/>
      <c r="G19" s="76">
        <v>1</v>
      </c>
      <c r="H19" s="186" t="str">
        <f>VLOOKUP(C19,'Sales Master'!$B$3:$F$2481,5,0)</f>
        <v>25 KGS</v>
      </c>
      <c r="I19" s="497" t="str">
        <f>VLOOKUP(C19,'Sales Master'!$B$3:$E$2481,4,0)</f>
        <v>MITR PHOL/ 蜜朋</v>
      </c>
      <c r="J19" s="497"/>
      <c r="K19" s="30">
        <f>VLOOKUP(C19,'Sales Master'!B$3:AE$530,30,0)</f>
        <v>31.5</v>
      </c>
      <c r="L19" s="64">
        <f>K19*G19</f>
        <v>31.5</v>
      </c>
      <c r="M19" s="65"/>
      <c r="N19" s="19" t="s">
        <v>998</v>
      </c>
      <c r="O19" s="19" t="s">
        <v>279</v>
      </c>
      <c r="R19" s="63"/>
    </row>
    <row r="20" spans="2:18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9" t="s">
        <v>909</v>
      </c>
      <c r="O20" s="19" t="s">
        <v>229</v>
      </c>
      <c r="R20" s="63"/>
    </row>
    <row r="21" spans="2:18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9" t="s">
        <v>1048</v>
      </c>
      <c r="O21" s="19" t="s">
        <v>357</v>
      </c>
      <c r="R21" s="63"/>
    </row>
    <row r="22" spans="2:18" ht="20.149999999999999" customHeight="1" x14ac:dyDescent="0.45">
      <c r="B22" s="29"/>
      <c r="C22" s="212"/>
      <c r="D22" s="461"/>
      <c r="E22" s="461"/>
      <c r="F22" s="461"/>
      <c r="G22" s="76"/>
      <c r="H22" s="204"/>
      <c r="I22" s="497"/>
      <c r="J22" s="497"/>
      <c r="K22" s="30"/>
      <c r="L22" s="64"/>
      <c r="M22" s="65"/>
      <c r="R22" s="63"/>
    </row>
    <row r="23" spans="2:18" ht="20.149999999999999" customHeight="1" x14ac:dyDescent="0.45">
      <c r="B23" s="29"/>
      <c r="C23" s="212"/>
      <c r="D23" s="461"/>
      <c r="E23" s="461"/>
      <c r="F23" s="461"/>
      <c r="G23" s="76"/>
      <c r="H23" s="204"/>
      <c r="I23" s="497"/>
      <c r="J23" s="497"/>
      <c r="K23" s="30"/>
      <c r="L23" s="64"/>
      <c r="M23" s="65"/>
      <c r="R23" s="63"/>
    </row>
    <row r="24" spans="2:18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  <c r="R24" s="63"/>
    </row>
    <row r="25" spans="2:18" ht="20.149999999999999" customHeight="1" x14ac:dyDescent="0.45">
      <c r="B25" s="29"/>
      <c r="C25" s="212"/>
      <c r="D25" s="461"/>
      <c r="E25" s="461"/>
      <c r="F25" s="461"/>
      <c r="G25" s="76"/>
      <c r="H25" s="186"/>
      <c r="I25" s="497"/>
      <c r="J25" s="497"/>
      <c r="K25" s="30"/>
      <c r="L25" s="64"/>
      <c r="M25" s="65"/>
      <c r="N25" s="145"/>
      <c r="O25" s="145"/>
      <c r="P25" s="145"/>
      <c r="R25" s="63"/>
    </row>
    <row r="26" spans="2:18" ht="20.149999999999999" customHeight="1" x14ac:dyDescent="0.45">
      <c r="B26" s="29"/>
      <c r="C26" s="198" t="s">
        <v>2166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</row>
    <row r="27" spans="2:18" ht="20.149999999999999" customHeight="1" x14ac:dyDescent="0.45">
      <c r="B27" s="29"/>
      <c r="C27" s="244" t="s">
        <v>1014</v>
      </c>
      <c r="D27" s="461" t="str">
        <f>VLOOKUP(C27,'Sales Master'!B$3:D$530,2,)</f>
        <v>Fine Sugar 白糖</v>
      </c>
      <c r="E27" s="461"/>
      <c r="F27" s="461"/>
      <c r="G27" s="76">
        <v>1</v>
      </c>
      <c r="H27" s="186" t="str">
        <f>VLOOKUP(C27,'Sales Master'!$B$3:$F$2481,5,0)</f>
        <v>25 KGS</v>
      </c>
      <c r="I27" s="462" t="str">
        <f>VLOOKUP(C27,'Sales Master'!$B$3:$E$2413,4,0)</f>
        <v>MITR PHOL/ 蜜朋</v>
      </c>
      <c r="J27" s="462"/>
      <c r="K27" s="83">
        <v>31.5</v>
      </c>
      <c r="L27" s="64"/>
      <c r="M27" s="65"/>
      <c r="N27" s="145"/>
      <c r="O27" s="145"/>
      <c r="P27" s="145"/>
    </row>
    <row r="28" spans="2:18" ht="20.149999999999999" customHeight="1" x14ac:dyDescent="0.45">
      <c r="B28" s="29"/>
      <c r="C28" s="244"/>
      <c r="D28" s="445"/>
      <c r="E28" s="445"/>
      <c r="F28" s="445"/>
      <c r="G28" s="76"/>
      <c r="H28" s="183"/>
      <c r="I28" s="462"/>
      <c r="J28" s="462"/>
      <c r="K28" s="83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212"/>
      <c r="D29" s="445"/>
      <c r="E29" s="445"/>
      <c r="F29" s="445"/>
      <c r="G29" s="76"/>
      <c r="H29" s="183"/>
      <c r="I29" s="462"/>
      <c r="J29" s="462"/>
      <c r="K29" s="83"/>
      <c r="L29" s="64"/>
      <c r="M29" s="65"/>
      <c r="N29" s="145"/>
      <c r="O29" s="145"/>
      <c r="P29" s="145"/>
    </row>
    <row r="30" spans="2:18" ht="20.149999999999999" customHeight="1" thickBot="1" x14ac:dyDescent="0.5">
      <c r="B30" s="32"/>
      <c r="C30" s="33"/>
      <c r="D30" s="490"/>
      <c r="E30" s="490"/>
      <c r="F30" s="490"/>
      <c r="G30" s="33"/>
      <c r="H30" s="57"/>
      <c r="I30" s="474"/>
      <c r="J30" s="474"/>
      <c r="K30" s="34"/>
      <c r="L30" s="3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SUM(L14:L30)</f>
        <v>61.5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61.5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5.5350000000000001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67.034999999999997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D22:F22"/>
    <mergeCell ref="D20:F20"/>
    <mergeCell ref="I20:J20"/>
    <mergeCell ref="I19:J19"/>
    <mergeCell ref="I17:J17"/>
    <mergeCell ref="I22:J22"/>
    <mergeCell ref="I21:J21"/>
    <mergeCell ref="I18:J18"/>
    <mergeCell ref="D21:F21"/>
    <mergeCell ref="D19:F19"/>
    <mergeCell ref="I23:J23"/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  <mergeCell ref="D23:F23"/>
  </mergeCells>
  <conditionalFormatting sqref="C26">
    <cfRule type="duplicateValues" dxfId="33" priority="1"/>
  </conditionalFormatting>
  <conditionalFormatting sqref="C27:C28">
    <cfRule type="duplicateValues" dxfId="32" priority="2"/>
  </conditionalFormatting>
  <conditionalFormatting sqref="C29">
    <cfRule type="duplicateValues" dxfId="31" priority="1495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0"/>
  <sheetViews>
    <sheetView topLeftCell="A15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460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1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1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1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1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1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1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1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1365</v>
      </c>
      <c r="J10" s="24" t="s">
        <v>27</v>
      </c>
      <c r="K10" s="493">
        <v>202412166</v>
      </c>
      <c r="L10" s="494"/>
    </row>
    <row r="11" spans="1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20 TAMPINES CENTRAL                          #01-18 TAMPINES MRT,          SINGAPORE 529538</v>
      </c>
      <c r="G11" s="481"/>
      <c r="H11" s="482"/>
      <c r="J11" s="26" t="s">
        <v>9</v>
      </c>
      <c r="K11" s="495">
        <v>45635</v>
      </c>
      <c r="L11" s="496"/>
    </row>
    <row r="12" spans="1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1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1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7"/>
    </row>
    <row r="15" spans="1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9" t="s">
        <v>1336</v>
      </c>
      <c r="O17" s="19" t="s">
        <v>1899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8.5</v>
      </c>
      <c r="M18" s="65"/>
      <c r="N18" s="19" t="s">
        <v>754</v>
      </c>
      <c r="O18" s="19" t="s">
        <v>1375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6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21</v>
      </c>
      <c r="M19" s="65"/>
      <c r="N19" s="19" t="s">
        <v>1742</v>
      </c>
      <c r="O19" s="19" t="s">
        <v>1900</v>
      </c>
    </row>
    <row r="20" spans="2:16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2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>K20*G20</f>
        <v>1.6</v>
      </c>
      <c r="M20" s="65"/>
      <c r="N20" s="19" t="s">
        <v>810</v>
      </c>
      <c r="O20" s="19" t="s">
        <v>242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9" t="s">
        <v>1769</v>
      </c>
      <c r="O21" s="19" t="s">
        <v>1562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7" t="s">
        <v>810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9" t="s">
        <v>1294</v>
      </c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65"/>
      <c r="I24" s="491"/>
      <c r="J24" s="491"/>
      <c r="K24" s="30"/>
      <c r="L24" s="64"/>
      <c r="M24" s="65"/>
    </row>
    <row r="25" spans="2:16" ht="20.149999999999999" customHeight="1" x14ac:dyDescent="0.45">
      <c r="B25" s="29"/>
      <c r="C25" s="17"/>
      <c r="G25" s="76"/>
      <c r="H25" s="165"/>
      <c r="I25" s="56"/>
      <c r="J25" s="56"/>
      <c r="K25" s="30"/>
      <c r="L25" s="64"/>
      <c r="M25" s="65"/>
      <c r="N25" s="145"/>
      <c r="O25" s="145"/>
      <c r="P25" s="145"/>
    </row>
    <row r="26" spans="2:16" ht="20.149999999999999" customHeight="1" thickBot="1" x14ac:dyDescent="0.5">
      <c r="B26" s="32"/>
      <c r="C26" s="33"/>
      <c r="D26" s="490"/>
      <c r="E26" s="490"/>
      <c r="F26" s="490"/>
      <c r="G26" s="33"/>
      <c r="H26" s="57"/>
      <c r="I26" s="474"/>
      <c r="J26" s="474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SUM(L14:L24)</f>
        <v>31.1</v>
      </c>
      <c r="M28" s="63">
        <f>SUM(P18:P24)</f>
        <v>0</v>
      </c>
      <c r="N28" s="133">
        <f>M28/L28</f>
        <v>0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31.1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2.7989999999999999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33.899000000000001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1:F21"/>
    <mergeCell ref="I21:J21"/>
    <mergeCell ref="D22:F22"/>
    <mergeCell ref="I22:J22"/>
    <mergeCell ref="D20:F20"/>
    <mergeCell ref="I20:J20"/>
    <mergeCell ref="J32:K32"/>
    <mergeCell ref="D24:F24"/>
    <mergeCell ref="I24:J24"/>
    <mergeCell ref="D23:F23"/>
    <mergeCell ref="I23:J23"/>
    <mergeCell ref="D26:F26"/>
    <mergeCell ref="I26:J26"/>
    <mergeCell ref="J28:K28"/>
    <mergeCell ref="J30:K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17:J17"/>
    <mergeCell ref="D18:F18"/>
    <mergeCell ref="D17:F17"/>
    <mergeCell ref="I18:J18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3"/>
  <sheetViews>
    <sheetView topLeftCell="A23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N8" s="19" t="s">
        <v>1336</v>
      </c>
      <c r="O8" s="19" t="s">
        <v>1899</v>
      </c>
    </row>
    <row r="9" spans="2:15" ht="19" thickBot="1" x14ac:dyDescent="0.5">
      <c r="B9" s="18"/>
      <c r="N9" s="19" t="s">
        <v>754</v>
      </c>
      <c r="O9" s="19" t="s">
        <v>1375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1366</v>
      </c>
      <c r="J10" s="24" t="s">
        <v>27</v>
      </c>
      <c r="K10" s="493">
        <v>202412672</v>
      </c>
      <c r="L10" s="494"/>
      <c r="N10" s="19" t="s">
        <v>1742</v>
      </c>
      <c r="O10" s="19" t="s">
        <v>1900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470 TOA PAYOH LORONG 6                   SINGAPORE 310470</v>
      </c>
      <c r="G11" s="481"/>
      <c r="H11" s="482"/>
      <c r="J11" s="26" t="s">
        <v>9</v>
      </c>
      <c r="K11" s="495">
        <v>45657</v>
      </c>
      <c r="L11" s="496"/>
      <c r="N11" s="19" t="s">
        <v>810</v>
      </c>
      <c r="O11" s="19" t="s">
        <v>242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1769</v>
      </c>
      <c r="O12" s="19" t="s">
        <v>1562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1742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8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 t="shared" ref="L19" si="0">K19*G19</f>
        <v>28</v>
      </c>
      <c r="M19" s="65"/>
      <c r="N19" s="145">
        <f>VLOOKUP(C19,'Sales Master'!$B$3:$DA$2272,104,0)</f>
        <v>1.0900000000000001</v>
      </c>
      <c r="O19" s="145">
        <f t="shared" ref="O19" si="1">K19-N19</f>
        <v>2.41</v>
      </c>
      <c r="P19" s="145">
        <f t="shared" ref="P19" si="2">O19*G19</f>
        <v>19.28</v>
      </c>
    </row>
    <row r="20" spans="2:16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2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>K20*G20</f>
        <v>1.6</v>
      </c>
      <c r="M20" s="65"/>
      <c r="N20" s="145">
        <f>VLOOKUP(C20,'Sales Master'!$B$3:$DA$2272,104,0)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6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76"/>
      <c r="H26" s="186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76"/>
      <c r="H27" s="186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SUM(L14:L28)</f>
        <v>46.6</v>
      </c>
      <c r="M31" s="63">
        <f>SUM(P18:P28)</f>
        <v>27.04</v>
      </c>
      <c r="N31" s="133">
        <f>M31/L31</f>
        <v>0.58025751072961373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46.6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4.194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50.794000000000004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4:F24"/>
    <mergeCell ref="I24:J24"/>
    <mergeCell ref="J33:K33"/>
    <mergeCell ref="J35:K35"/>
    <mergeCell ref="D28:F28"/>
    <mergeCell ref="I28:J28"/>
    <mergeCell ref="D25:F25"/>
    <mergeCell ref="I25:J25"/>
    <mergeCell ref="D26:F26"/>
    <mergeCell ref="I26:J26"/>
    <mergeCell ref="D27:F27"/>
    <mergeCell ref="I27:J27"/>
    <mergeCell ref="D29:F29"/>
    <mergeCell ref="I29:J29"/>
    <mergeCell ref="J31:K31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O43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1367</v>
      </c>
      <c r="J10" s="24" t="s">
        <v>27</v>
      </c>
      <c r="K10" s="493">
        <v>202501151</v>
      </c>
      <c r="L10" s="494"/>
      <c r="N10" s="19" t="s">
        <v>754</v>
      </c>
      <c r="O10" s="19" t="s">
        <v>1375</v>
      </c>
    </row>
    <row r="11" spans="2:15" ht="20.149999999999999" customHeight="1" x14ac:dyDescent="0.45">
      <c r="B11" s="480" t="s">
        <v>1333</v>
      </c>
      <c r="C11" s="481"/>
      <c r="D11" s="482"/>
      <c r="E11" s="25"/>
      <c r="F11" s="480" t="str">
        <f>VLOOKUP(H10,'Delivery Location'!A$4:N$460,2,0)</f>
        <v>R&amp;B TEA SINGAPORE                                  991 BUANGKOK LINK #01-27 SINGAPORE 530991</v>
      </c>
      <c r="G11" s="481"/>
      <c r="H11" s="482"/>
      <c r="J11" s="26" t="s">
        <v>9</v>
      </c>
      <c r="K11" s="495">
        <v>45664</v>
      </c>
      <c r="L11" s="496"/>
      <c r="N11" s="19" t="s">
        <v>1742</v>
      </c>
      <c r="O11" s="19" t="s">
        <v>1900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810</v>
      </c>
      <c r="O12" s="19" t="s">
        <v>242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1769</v>
      </c>
      <c r="O13" s="19" t="s">
        <v>1562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7" t="s">
        <v>754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7" t="s">
        <v>1294</v>
      </c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8.5</v>
      </c>
      <c r="M18" s="65"/>
    </row>
    <row r="19" spans="2:13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6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21</v>
      </c>
      <c r="M19" s="65"/>
    </row>
    <row r="20" spans="2:13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3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>K20*G20</f>
        <v>2.4000000000000004</v>
      </c>
      <c r="M20" s="65"/>
    </row>
    <row r="21" spans="2:13" ht="20.149999999999999" customHeight="1" x14ac:dyDescent="0.45">
      <c r="B21" s="29"/>
      <c r="C21" s="212"/>
      <c r="D21" s="498"/>
      <c r="E21" s="498"/>
      <c r="F21" s="498"/>
      <c r="G21" s="76"/>
      <c r="H21" s="186"/>
      <c r="I21" s="497"/>
      <c r="J21" s="497"/>
      <c r="K21" s="30"/>
      <c r="L21" s="64"/>
      <c r="M21" s="65"/>
    </row>
    <row r="22" spans="2:13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</row>
    <row r="23" spans="2:13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</row>
    <row r="24" spans="2:13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</row>
    <row r="25" spans="2:13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</row>
    <row r="26" spans="2:13" ht="20.149999999999999" customHeight="1" x14ac:dyDescent="0.45">
      <c r="B26" s="29"/>
      <c r="C26" s="17"/>
      <c r="D26" s="461"/>
      <c r="E26" s="461"/>
      <c r="F26" s="461"/>
      <c r="G26" s="76"/>
      <c r="H26" s="186"/>
      <c r="I26" s="516"/>
      <c r="J26" s="516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165"/>
      <c r="I27" s="491"/>
      <c r="J27" s="491"/>
      <c r="K27" s="30"/>
      <c r="L27" s="64"/>
      <c r="M27" s="65"/>
    </row>
    <row r="28" spans="2:13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</row>
    <row r="29" spans="2:13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SUM(L14:L27)</f>
        <v>31.9</v>
      </c>
      <c r="M31" s="63">
        <f>SUM(P18:P27)</f>
        <v>0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31.9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2.8709999999999996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34.771000000000001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  <mergeCell ref="D20:F20"/>
    <mergeCell ref="I20:J20"/>
    <mergeCell ref="D23:F23"/>
    <mergeCell ref="I23:J23"/>
    <mergeCell ref="D25:F25"/>
    <mergeCell ref="I25:J25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N8" s="19" t="s">
        <v>1336</v>
      </c>
      <c r="O8" s="19" t="s">
        <v>1899</v>
      </c>
    </row>
    <row r="9" spans="2:15" ht="19" thickBot="1" x14ac:dyDescent="0.5">
      <c r="B9" s="18"/>
      <c r="N9" s="19" t="s">
        <v>754</v>
      </c>
      <c r="O9" s="19" t="s">
        <v>1375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1368</v>
      </c>
      <c r="J10" s="24" t="s">
        <v>27</v>
      </c>
      <c r="K10" s="493">
        <v>202210477</v>
      </c>
      <c r="L10" s="494"/>
      <c r="N10" s="19" t="s">
        <v>1742</v>
      </c>
      <c r="O10" s="19" t="s">
        <v>1900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                   3155 COMMONWEALTH AVENUE WEST #04-K4 CLEMENTI MALL, SINGAPORE 129588</v>
      </c>
      <c r="G11" s="481"/>
      <c r="H11" s="482"/>
      <c r="J11" s="26" t="s">
        <v>9</v>
      </c>
      <c r="K11" s="495">
        <v>44861</v>
      </c>
      <c r="L11" s="496"/>
      <c r="N11" s="19" t="s">
        <v>810</v>
      </c>
      <c r="O11" s="19" t="s">
        <v>242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1769</v>
      </c>
      <c r="O12" s="19" t="s">
        <v>1562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1336</v>
      </c>
      <c r="D18" s="461" t="str">
        <f>VLOOKUP(C18,'Sales Master'!B$3:D$530,2,)</f>
        <v>Passion Fruit Puree 百香果酱</v>
      </c>
      <c r="E18" s="461"/>
      <c r="F18" s="461"/>
      <c r="G18" s="76">
        <v>6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51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22.200000000000003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56"/>
      <c r="I29" s="491"/>
      <c r="J29" s="491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491"/>
      <c r="J30" s="491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186"/>
      <c r="I31" s="516"/>
      <c r="J31" s="516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D32" s="461"/>
      <c r="E32" s="461"/>
      <c r="F32" s="461"/>
      <c r="G32" s="76"/>
      <c r="H32" s="186"/>
      <c r="I32" s="516"/>
      <c r="J32" s="516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7"/>
      <c r="D33" s="461"/>
      <c r="E33" s="461"/>
      <c r="F33" s="461"/>
      <c r="G33" s="76"/>
      <c r="H33" s="165"/>
      <c r="I33" s="491"/>
      <c r="J33" s="491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65"/>
      <c r="I34" s="56"/>
      <c r="J34" s="56"/>
      <c r="K34" s="30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90"/>
      <c r="E35" s="490"/>
      <c r="F35" s="490"/>
      <c r="G35" s="33"/>
      <c r="H35" s="57"/>
      <c r="I35" s="474"/>
      <c r="J35" s="474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55" t="s">
        <v>13</v>
      </c>
      <c r="K37" s="456"/>
      <c r="L37" s="38">
        <f>SUM(L14:L33)</f>
        <v>51</v>
      </c>
      <c r="M37" s="63">
        <f>SUM(P18:P33)</f>
        <v>22.200000000000003</v>
      </c>
      <c r="N37" s="133">
        <f>M37/L37</f>
        <v>0.43529411764705889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51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4.59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55.59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1"/>
  <sheetViews>
    <sheetView topLeftCell="A9" workbookViewId="0">
      <selection activeCell="C20" sqref="C20:Q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N7" s="19" t="s">
        <v>1336</v>
      </c>
      <c r="O7" s="19" t="s">
        <v>1899</v>
      </c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N8" s="19" t="s">
        <v>754</v>
      </c>
      <c r="O8" s="19" t="s">
        <v>1375</v>
      </c>
    </row>
    <row r="9" spans="2:15" ht="19" thickBot="1" x14ac:dyDescent="0.5">
      <c r="B9" s="18"/>
      <c r="N9" s="19" t="s">
        <v>1742</v>
      </c>
      <c r="O9" s="19" t="s">
        <v>1900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1370</v>
      </c>
      <c r="J10" s="24" t="s">
        <v>27</v>
      </c>
      <c r="K10" s="493">
        <v>202501219</v>
      </c>
      <c r="L10" s="494"/>
      <c r="N10" s="19" t="s">
        <v>810</v>
      </c>
      <c r="O10" s="19" t="s">
        <v>242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681 PUNGGOL DRIVE                                #B1-03 OASIS TERRACES,            SINGAPORE 820681</v>
      </c>
      <c r="G11" s="481"/>
      <c r="H11" s="482"/>
      <c r="J11" s="26" t="s">
        <v>9</v>
      </c>
      <c r="K11" s="495">
        <v>45667</v>
      </c>
      <c r="L11" s="496"/>
      <c r="N11" s="19" t="s">
        <v>1769</v>
      </c>
      <c r="O11" s="19" t="s">
        <v>1562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O13" s="93"/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8.5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3.7</v>
      </c>
      <c r="R18" s="63"/>
      <c r="S18" s="63">
        <f>N18*G18*0.08</f>
        <v>0.38400000000000001</v>
      </c>
    </row>
    <row r="19" spans="2:19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5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17.5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12.05</v>
      </c>
      <c r="R19" s="63"/>
      <c r="S19" s="63">
        <f>N19*G19*0.08</f>
        <v>0.436</v>
      </c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9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9" ht="20.149999999999999" customHeight="1" thickBot="1" x14ac:dyDescent="0.5">
      <c r="B28" s="36"/>
      <c r="L28" s="37"/>
    </row>
    <row r="29" spans="2:19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SUM(L14:L27)</f>
        <v>26</v>
      </c>
      <c r="M29" s="63">
        <f>SUM(P18:P27)</f>
        <v>15.75</v>
      </c>
      <c r="N29" s="133">
        <f>M29/L29</f>
        <v>0.60576923076923073</v>
      </c>
    </row>
    <row r="30" spans="2:19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9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26</v>
      </c>
    </row>
    <row r="32" spans="2:19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2.34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28.34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27:F27"/>
    <mergeCell ref="I27:J27"/>
    <mergeCell ref="D25:F25"/>
    <mergeCell ref="J29:K29"/>
    <mergeCell ref="D24:F24"/>
    <mergeCell ref="I17:J17"/>
    <mergeCell ref="J31:K31"/>
    <mergeCell ref="I18:J18"/>
    <mergeCell ref="I19:J19"/>
    <mergeCell ref="J33:K33"/>
    <mergeCell ref="I24:J24"/>
    <mergeCell ref="I25:J25"/>
    <mergeCell ref="I20:J20"/>
    <mergeCell ref="D20:F20"/>
    <mergeCell ref="I21:J21"/>
    <mergeCell ref="D21:F21"/>
    <mergeCell ref="D18:F18"/>
    <mergeCell ref="D19:F19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1371</v>
      </c>
      <c r="J10" s="24" t="s">
        <v>27</v>
      </c>
      <c r="K10" s="493">
        <v>202210230</v>
      </c>
      <c r="L10" s="494"/>
    </row>
    <row r="11" spans="2:12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                3 SIMEI STREET 6 #01-04                     EAST POINT MALL, SINGAPORE 528833</v>
      </c>
      <c r="G11" s="481"/>
      <c r="H11" s="482"/>
      <c r="J11" s="26" t="s">
        <v>9</v>
      </c>
      <c r="K11" s="495">
        <v>44847</v>
      </c>
      <c r="L11" s="496"/>
    </row>
    <row r="12" spans="2:12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810</v>
      </c>
      <c r="D18" s="461" t="str">
        <f>VLOOKUP(C18,'Sales Master'!B$3:D$530,2,)</f>
        <v>Tapioca Flour 茨粉</v>
      </c>
      <c r="E18" s="461"/>
      <c r="F18" s="461"/>
      <c r="G18" s="76">
        <v>5</v>
      </c>
      <c r="H18" s="186" t="str">
        <f>VLOOKUP(C18,'Sales Master'!$B$3:$F$2481,5,0)</f>
        <v xml:space="preserve">500 GM/pkt </v>
      </c>
      <c r="I18" s="497" t="str">
        <f>VLOOKUP(C18,'Sales Master'!$B$3:$E$2481,4,0)</f>
        <v>F/man 飞人</v>
      </c>
      <c r="J18" s="497"/>
      <c r="K18" s="30">
        <f>VLOOKUP(C18,'Sales Master'!B$3:AD$530,29,0)</f>
        <v>0.8</v>
      </c>
      <c r="L18" s="64">
        <f>K18*G18</f>
        <v>4</v>
      </c>
      <c r="M18" s="65"/>
      <c r="N18" s="145">
        <f>VLOOKUP(C18,'Sales Master'!$B$3:$DA$2272,104,0)</f>
        <v>0.62</v>
      </c>
      <c r="O18" s="145">
        <f>K18-N18</f>
        <v>0.18000000000000005</v>
      </c>
      <c r="P18" s="145">
        <f>O18*G18</f>
        <v>0.90000000000000024</v>
      </c>
    </row>
    <row r="19" spans="2:16" ht="20.149999999999999" customHeight="1" x14ac:dyDescent="0.45">
      <c r="B19" s="29"/>
      <c r="C19" s="17" t="s">
        <v>1006</v>
      </c>
      <c r="D19" s="461" t="str">
        <f>VLOOKUP(C19,'Sales Master'!B$3:D$530,2,)</f>
        <v>Honey Longan syrup</v>
      </c>
      <c r="E19" s="461"/>
      <c r="F19" s="461"/>
      <c r="G19" s="76">
        <v>4</v>
      </c>
      <c r="H19" s="186" t="str">
        <f>VLOOKUP(C19,'Sales Master'!$B$3:$F$2481,5,0)</f>
        <v>3 KG</v>
      </c>
      <c r="I19" s="497" t="str">
        <f>VLOOKUP(C19,'Sales Master'!$B$3:$E$2481,4,0)</f>
        <v>-</v>
      </c>
      <c r="J19" s="497"/>
      <c r="K19" s="30">
        <f>VLOOKUP(C19,'Sales Master'!B$3:AD$530,29,0)</f>
        <v>14.8</v>
      </c>
      <c r="L19" s="64">
        <f>K19*G19</f>
        <v>59.2</v>
      </c>
      <c r="M19" s="65"/>
      <c r="N19" s="145">
        <f>VLOOKUP(C19,'Sales Master'!$B$3:$DA$2272,104,0)</f>
        <v>11.5</v>
      </c>
      <c r="O19" s="145">
        <f>K19-N19</f>
        <v>3.3000000000000007</v>
      </c>
      <c r="P19" s="145">
        <f>O19*G19</f>
        <v>13.200000000000003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thickBot="1" x14ac:dyDescent="0.5">
      <c r="B24" s="32"/>
      <c r="C24" s="33"/>
      <c r="D24" s="490"/>
      <c r="E24" s="490"/>
      <c r="F24" s="490"/>
      <c r="G24" s="33"/>
      <c r="H24" s="57"/>
      <c r="I24" s="474"/>
      <c r="J24" s="474"/>
      <c r="K24" s="34"/>
      <c r="L24" s="35"/>
    </row>
    <row r="25" spans="2:16" ht="20.149999999999999" customHeight="1" thickBot="1" x14ac:dyDescent="0.5">
      <c r="B25" s="36"/>
      <c r="L25" s="37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55" t="s">
        <v>13</v>
      </c>
      <c r="K26" s="456"/>
      <c r="L26" s="38">
        <f>SUM(L14:L23)</f>
        <v>63.2</v>
      </c>
      <c r="M26" s="63">
        <f>SUM(P18:P23)</f>
        <v>14.100000000000003</v>
      </c>
      <c r="N26" s="133">
        <f>M26/L26</f>
        <v>0.22310126582278486</v>
      </c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57" t="s">
        <v>19</v>
      </c>
      <c r="K28" s="458"/>
      <c r="L28" s="41">
        <f>L26-L27</f>
        <v>63.2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5.6879999999999997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59" t="s">
        <v>21</v>
      </c>
      <c r="K30" s="460"/>
      <c r="L30" s="43">
        <f>L28+L29</f>
        <v>68.888000000000005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36"/>
      <c r="L32" s="37"/>
    </row>
    <row r="33" spans="2:12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26:K26"/>
    <mergeCell ref="J28:K28"/>
    <mergeCell ref="J30:K30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1"/>
  <sheetViews>
    <sheetView topLeftCell="A23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1373</v>
      </c>
      <c r="J10" s="24" t="s">
        <v>27</v>
      </c>
      <c r="K10" s="493">
        <v>202501078</v>
      </c>
      <c r="L10" s="494"/>
      <c r="N10" s="19" t="s">
        <v>1336</v>
      </c>
      <c r="O10" s="19" t="s">
        <v>1337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377 HOUGANG STREET 32                       #B1-18 HOUGANG RIVERCOURT, SINGAPORE 530377</v>
      </c>
      <c r="G11" s="481"/>
      <c r="H11" s="482"/>
      <c r="J11" s="26" t="s">
        <v>9</v>
      </c>
      <c r="K11" s="495">
        <v>45660</v>
      </c>
      <c r="L11" s="496"/>
      <c r="N11" s="19" t="s">
        <v>1777</v>
      </c>
      <c r="O11" s="19" t="s">
        <v>1591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1742</v>
      </c>
      <c r="O12" s="19" t="s">
        <v>1778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5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17.5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SUM(L14:L25)</f>
        <v>34.5</v>
      </c>
      <c r="M29" s="63">
        <f>SUM(P18:P25)</f>
        <v>19.450000000000003</v>
      </c>
      <c r="N29" s="133">
        <f>M29/L29</f>
        <v>0.56376811594202902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34.5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3.105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37.604999999999997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I21:J21"/>
    <mergeCell ref="D22:F22"/>
    <mergeCell ref="I22:J22"/>
    <mergeCell ref="D21:F21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1374</v>
      </c>
      <c r="J10" s="24" t="s">
        <v>27</v>
      </c>
      <c r="K10" s="493">
        <v>202310579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4 BUKIT BATOK STREET 41                       #01-47 LE QUEST,                        SINGAPORE 657991</v>
      </c>
      <c r="G11" s="481"/>
      <c r="H11" s="482"/>
      <c r="J11" s="26" t="s">
        <v>9</v>
      </c>
      <c r="K11" s="495">
        <v>45224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7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7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1777</v>
      </c>
      <c r="D18" s="525" t="str">
        <f>VLOOKUP(C18,'Sales Master'!B$3:D$530,2,)</f>
        <v>Fresh Soursop Seedless 红毛榴莲(无)</v>
      </c>
      <c r="E18" s="525"/>
      <c r="F18" s="525"/>
      <c r="G18" s="76">
        <v>2</v>
      </c>
      <c r="H18" s="186" t="str">
        <f>VLOOKUP(C18,'Sales Master'!$B$3:$F$2481,5,0)</f>
        <v>GW:1 KG/ Box盒</v>
      </c>
      <c r="I18" s="497" t="str">
        <f>VLOOKUP(C18,'Sales Master'!$B$3:$E$2481,4,0)</f>
        <v>DO!</v>
      </c>
      <c r="J18" s="497"/>
      <c r="K18" s="30">
        <f>VLOOKUP(C18,'Sales Master'!B$3:AD$530,29,0)</f>
        <v>8</v>
      </c>
      <c r="L18" s="64">
        <f>K18*G18</f>
        <v>16</v>
      </c>
      <c r="M18" s="65"/>
      <c r="N18" s="145">
        <f>VLOOKUP(C18,'Sales Master'!$B$3:$DA$2272,104,0)</f>
        <v>5.08</v>
      </c>
      <c r="O18" s="145">
        <f>K18-N18</f>
        <v>2.92</v>
      </c>
      <c r="P18" s="145">
        <f>O18*G18</f>
        <v>5.84</v>
      </c>
    </row>
    <row r="19" spans="2:16" ht="20.149999999999999" customHeight="1" x14ac:dyDescent="0.45">
      <c r="B19" s="29"/>
      <c r="C19" s="212" t="s">
        <v>1336</v>
      </c>
      <c r="D19" s="461" t="str">
        <f>VLOOKUP(C19,'Sales Master'!B$3:D$530,2,)</f>
        <v>Passion Fruit Puree 百香果酱</v>
      </c>
      <c r="E19" s="461"/>
      <c r="F19" s="461"/>
      <c r="G19" s="76">
        <v>1</v>
      </c>
      <c r="H19" s="186" t="str">
        <f>VLOOKUP(C19,'Sales Master'!$B$3:$F$2481,5,0)</f>
        <v>1 KG/ Box盒</v>
      </c>
      <c r="I19" s="497" t="str">
        <f>VLOOKUP(C19,'Sales Master'!$B$3:$E$2481,4,0)</f>
        <v>-</v>
      </c>
      <c r="J19" s="497"/>
      <c r="K19" s="30">
        <f>VLOOKUP(C19,'Sales Master'!B$3:AD$530,29,0)</f>
        <v>8.5</v>
      </c>
      <c r="L19" s="64">
        <f>K19*G19</f>
        <v>8.5</v>
      </c>
      <c r="M19" s="65"/>
      <c r="N19" s="145">
        <f>VLOOKUP(C19,'Sales Master'!$B$3:$DA$2272,104,0)</f>
        <v>4.8</v>
      </c>
      <c r="O19" s="145">
        <f>K19-N19</f>
        <v>3.7</v>
      </c>
      <c r="P19" s="145">
        <f>O19*G19</f>
        <v>3.7</v>
      </c>
    </row>
    <row r="20" spans="2:16" ht="20.149999999999999" customHeight="1" x14ac:dyDescent="0.45">
      <c r="B20" s="29"/>
      <c r="C20" s="212" t="s">
        <v>754</v>
      </c>
      <c r="D20" s="461" t="str">
        <f>VLOOKUP(C20,'Sales Master'!B$3:D$530,2,)</f>
        <v>Grass Jelly 仙草冻</v>
      </c>
      <c r="E20" s="461"/>
      <c r="F20" s="461"/>
      <c r="G20" s="76">
        <v>2</v>
      </c>
      <c r="H20" s="186" t="str">
        <f>VLOOKUP(C20,'Sales Master'!$B$3:$F$2481,5,0)</f>
        <v>1 KG/ Box盒</v>
      </c>
      <c r="I20" s="497" t="str">
        <f>VLOOKUP(C20,'Sales Master'!$B$3:$E$2481,4,0)</f>
        <v>DO!</v>
      </c>
      <c r="J20" s="497"/>
      <c r="K20" s="30">
        <f>VLOOKUP(C20,'Sales Master'!B$3:AD$530,29,0)</f>
        <v>3.5</v>
      </c>
      <c r="L20" s="64">
        <f>K20*G20</f>
        <v>7</v>
      </c>
      <c r="M20" s="65"/>
      <c r="N20" s="145">
        <f>VLOOKUP(C20,'Sales Master'!$B$3:$DA$2272,104,0)</f>
        <v>1.0900000000000001</v>
      </c>
      <c r="O20" s="145">
        <f>K20-N20</f>
        <v>2.41</v>
      </c>
      <c r="P20" s="145">
        <f>O20*G20</f>
        <v>4.82</v>
      </c>
    </row>
    <row r="21" spans="2:16" ht="20.149999999999999" customHeight="1" x14ac:dyDescent="0.45">
      <c r="B21" s="29"/>
      <c r="C21" s="212" t="s">
        <v>1742</v>
      </c>
      <c r="D21" s="498" t="str">
        <f>VLOOKUP(C21,'Sales Master'!B$3:D$530,2,)</f>
        <v>Fresh Pineapple Puree 凤梨果酱</v>
      </c>
      <c r="E21" s="498"/>
      <c r="F21" s="498"/>
      <c r="G21" s="76">
        <v>1</v>
      </c>
      <c r="H21" s="186" t="str">
        <f>VLOOKUP(C21,'Sales Master'!$B$3:$F$2481,5,0)</f>
        <v>800 GM</v>
      </c>
      <c r="I21" s="497" t="str">
        <f>VLOOKUP(C21,'Sales Master'!$B$3:$E$2481,4,0)</f>
        <v>DO!</v>
      </c>
      <c r="J21" s="497"/>
      <c r="K21" s="30">
        <f>VLOOKUP(C21,'Sales Master'!B$3:AD$530,29,0)</f>
        <v>6</v>
      </c>
      <c r="L21" s="64">
        <f>K21*G21</f>
        <v>6</v>
      </c>
      <c r="M21" s="65"/>
      <c r="N21" s="145">
        <f>VLOOKUP(C21,'Sales Master'!$B$3:$DA$2272,104,0)</f>
        <v>3.32</v>
      </c>
      <c r="O21" s="145">
        <f>K21-N21</f>
        <v>2.68</v>
      </c>
      <c r="P21" s="145">
        <f>O21*G21</f>
        <v>2.68</v>
      </c>
    </row>
    <row r="22" spans="2:16" ht="20.149999999999999" customHeight="1" x14ac:dyDescent="0.45">
      <c r="B22" s="29"/>
      <c r="C22" s="212" t="s">
        <v>1769</v>
      </c>
      <c r="D22" s="461" t="str">
        <f>VLOOKUP(C22,'Sales Master'!B$3:D$530,2,)</f>
        <v>LaoYan 老盐柠檬茶用盐</v>
      </c>
      <c r="E22" s="461"/>
      <c r="F22" s="461"/>
      <c r="G22" s="76">
        <v>1</v>
      </c>
      <c r="H22" s="186" t="str">
        <f>VLOOKUP(C22,'Sales Master'!$B$3:$F$2481,5,0)</f>
        <v>500 GM</v>
      </c>
      <c r="I22" s="497" t="str">
        <f>VLOOKUP(C22,'Sales Master'!$B$3:$E$2481,4,0)</f>
        <v>银山</v>
      </c>
      <c r="J22" s="497"/>
      <c r="K22" s="30">
        <f>VLOOKUP(C22,'Sales Master'!B$3:AD$530,29,0)</f>
        <v>14</v>
      </c>
      <c r="L22" s="64">
        <f>K22*G22</f>
        <v>14</v>
      </c>
      <c r="M22" s="65"/>
      <c r="N22" s="145">
        <f>VLOOKUP(C22,'Sales Master'!$B$3:$DA$2272,104,0)</f>
        <v>10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51.5</v>
      </c>
      <c r="M30" s="63">
        <f>SUM(P18:P26)</f>
        <v>21.04</v>
      </c>
      <c r="N30" s="133">
        <f>M30/L30</f>
        <v>0.40854368932038831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51.5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4.6349999999999998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56.134999999999998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I21:J21"/>
    <mergeCell ref="D22:F22"/>
    <mergeCell ref="I22:J22"/>
    <mergeCell ref="D23:F23"/>
    <mergeCell ref="I23:J23"/>
    <mergeCell ref="D21:F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2"/>
  <sheetViews>
    <sheetView topLeftCell="A29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1377</v>
      </c>
      <c r="J10" s="24" t="s">
        <v>27</v>
      </c>
      <c r="K10" s="493">
        <v>202501201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101 THOMSON ROAD                              #02-K1 UNITED SQUARE,              SINGAPORE 307591</v>
      </c>
      <c r="G11" s="481"/>
      <c r="H11" s="482"/>
      <c r="J11" s="26" t="s">
        <v>9</v>
      </c>
      <c r="K11" s="495">
        <v>45666</v>
      </c>
      <c r="L11" s="496"/>
      <c r="N11" s="19" t="s">
        <v>1336</v>
      </c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754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1742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9" t="s">
        <v>810</v>
      </c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8.5</v>
      </c>
      <c r="M18" s="65"/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5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17.5</v>
      </c>
      <c r="M19" s="65"/>
    </row>
    <row r="20" spans="2:16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3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>K20*G20</f>
        <v>2.4000000000000004</v>
      </c>
      <c r="M20" s="6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28.4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2.5559999999999996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30.956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3:F23"/>
    <mergeCell ref="I23:J23"/>
    <mergeCell ref="I17:J17"/>
    <mergeCell ref="D22:F22"/>
    <mergeCell ref="I22:J22"/>
    <mergeCell ref="D18:F18"/>
    <mergeCell ref="I18:J18"/>
    <mergeCell ref="D17:F17"/>
    <mergeCell ref="D20:F20"/>
    <mergeCell ref="I20:J20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A4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</v>
      </c>
      <c r="J10" s="24" t="s">
        <v>27</v>
      </c>
      <c r="K10" s="493">
        <v>202404213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KENNY                                                                                                                         4, WOODLANDS STREET 12 MARSILING MALL #01-63 SINGAPORE 738620</v>
      </c>
      <c r="G11" s="481"/>
      <c r="H11" s="482"/>
      <c r="J11" s="26" t="s">
        <v>9</v>
      </c>
      <c r="K11" s="495">
        <v>45390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/>
      <c r="C15" s="509"/>
      <c r="D15" s="510"/>
      <c r="E15" s="21"/>
      <c r="F15" s="465"/>
      <c r="G15" s="466"/>
      <c r="H15" s="467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737</v>
      </c>
      <c r="D18" s="19" t="str">
        <f>VLOOKUP(C18,'Sales Master'!B$3:D$530,2,)</f>
        <v>Chendol 浆咯</v>
      </c>
      <c r="G18" s="76">
        <v>5</v>
      </c>
      <c r="H18" s="56" t="str">
        <f>VLOOKUP(C18,'Sales Master'!$B$3:$F$2413,5,0)</f>
        <v>NW(2.2:0.8) 3kg/ Bag包</v>
      </c>
      <c r="I18" s="491" t="str">
        <f>VLOOKUP(C18,'Sales Master'!$B$3:$E$2413,4,0)</f>
        <v>DO!</v>
      </c>
      <c r="J18" s="491"/>
      <c r="K18" s="30">
        <f>VLOOKUP($C18,'Sales Master'!$B3:$AF3024,31,0)</f>
        <v>7</v>
      </c>
      <c r="L18" s="64">
        <f>K18*G18</f>
        <v>35</v>
      </c>
      <c r="M18" s="65"/>
      <c r="N18" s="145">
        <f>VLOOKUP(C18,'Sales Master'!$B$3:$DA$2272,104,0)</f>
        <v>2.44</v>
      </c>
      <c r="O18" s="145">
        <f>K18-N18</f>
        <v>4.5600000000000005</v>
      </c>
      <c r="P18" s="145">
        <f>O18*G18</f>
        <v>22.800000000000004</v>
      </c>
      <c r="R18" s="19">
        <v>1</v>
      </c>
      <c r="S18" s="19" t="s">
        <v>54</v>
      </c>
      <c r="T18" s="19" t="s">
        <v>347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91"/>
      <c r="J19" s="491"/>
      <c r="K19" s="30"/>
      <c r="L19" s="64"/>
      <c r="M19" s="65"/>
      <c r="N19" s="145"/>
      <c r="O19" s="145"/>
      <c r="P19" s="145"/>
      <c r="R19" s="19">
        <v>2</v>
      </c>
      <c r="S19" s="19" t="s">
        <v>214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01"/>
      <c r="E20" s="501"/>
      <c r="F20" s="501"/>
      <c r="G20" s="76"/>
      <c r="H20" s="56"/>
      <c r="I20" s="491"/>
      <c r="J20" s="491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01"/>
      <c r="E21" s="501"/>
      <c r="F21" s="50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91"/>
      <c r="J22" s="491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449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91"/>
      <c r="J28" s="491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91"/>
      <c r="J29" s="491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91"/>
      <c r="J30" s="491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91"/>
      <c r="J31" s="491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91"/>
      <c r="J32" s="491"/>
      <c r="K32" s="30"/>
      <c r="L32" s="64"/>
      <c r="M32" s="65"/>
    </row>
    <row r="33" spans="2:14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474"/>
      <c r="J33" s="474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91"/>
      <c r="J34" s="491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SUM(L17:L33)</f>
        <v>35</v>
      </c>
      <c r="M36" s="63">
        <f>SUM(P18:P24)</f>
        <v>22.800000000000004</v>
      </c>
      <c r="N36" s="133">
        <f>M36/L36</f>
        <v>0.65142857142857158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35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3.15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38.15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4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1382</v>
      </c>
      <c r="J10" s="24" t="s">
        <v>27</v>
      </c>
      <c r="K10" s="493">
        <v>202211153</v>
      </c>
      <c r="L10" s="494"/>
    </row>
    <row r="11" spans="2:12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 1 KIM SENG PROMENADE  #B1-K104 GREAT WORLD CITY,                 SINGAPORE 237994</v>
      </c>
      <c r="G11" s="481"/>
      <c r="H11" s="482"/>
      <c r="J11" s="26" t="s">
        <v>9</v>
      </c>
      <c r="K11" s="495">
        <v>44873</v>
      </c>
      <c r="L11" s="496"/>
    </row>
    <row r="12" spans="2:12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1336</v>
      </c>
      <c r="D18" s="461" t="str">
        <f>VLOOKUP(C18,'Sales Master'!B$3:D$530,2,)</f>
        <v>Passion Fruit Puree 百香果酱</v>
      </c>
      <c r="E18" s="461"/>
      <c r="F18" s="461"/>
      <c r="G18" s="76">
        <v>5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42.5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18.5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42.5</v>
      </c>
      <c r="M30" s="63">
        <f>SUM(P18:P26)</f>
        <v>18.5</v>
      </c>
      <c r="N30" s="133">
        <f>M30/L30</f>
        <v>0.43529411764705883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42.5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3.8249999999999997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46.325000000000003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2"/>
  <sheetViews>
    <sheetView topLeftCell="A10" workbookViewId="0">
      <selection activeCell="L21" sqref="L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1777</v>
      </c>
      <c r="O9" s="19" t="s">
        <v>1591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1384</v>
      </c>
      <c r="J10" s="24" t="s">
        <v>27</v>
      </c>
      <c r="K10" s="493">
        <v>202501230</v>
      </c>
      <c r="L10" s="494"/>
      <c r="N10" s="19" t="s">
        <v>1336</v>
      </c>
      <c r="O10" s="19" t="s">
        <v>1337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80 MARINE PARADE ROAD                     #03-30A PARKWAY PARADE, SINGAPORE 449269</v>
      </c>
      <c r="G11" s="481"/>
      <c r="H11" s="482"/>
      <c r="J11" s="26" t="s">
        <v>9</v>
      </c>
      <c r="K11" s="495">
        <v>45667</v>
      </c>
      <c r="L11" s="496"/>
      <c r="N11" s="19" t="s">
        <v>754</v>
      </c>
      <c r="O11" s="19" t="s">
        <v>1375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1742</v>
      </c>
      <c r="O12" s="19" t="s">
        <v>1778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810</v>
      </c>
      <c r="O13" s="19" t="s">
        <v>242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1769</v>
      </c>
      <c r="O14" s="19" t="s">
        <v>1562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 t="shared" ref="L18:L19" si="0">K18*G18</f>
        <v>8.5</v>
      </c>
      <c r="M18" s="65"/>
      <c r="N18" s="145">
        <f>VLOOKUP(C18,'Sales Master'!$B$3:$DA$2272,104,0)</f>
        <v>4.8</v>
      </c>
      <c r="O18" s="145">
        <f t="shared" ref="O18:O19" si="1">K18-N18</f>
        <v>3.7</v>
      </c>
      <c r="P18" s="145">
        <f t="shared" ref="P18:P19" si="2">O18*G18</f>
        <v>3.7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5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 t="shared" si="0"/>
        <v>17.5</v>
      </c>
      <c r="M19" s="65"/>
      <c r="N19" s="145">
        <f>VLOOKUP(C19,'Sales Master'!$B$3:$DA$2272,104,0)</f>
        <v>1.0900000000000001</v>
      </c>
      <c r="O19" s="145">
        <f t="shared" si="1"/>
        <v>2.41</v>
      </c>
      <c r="P19" s="145">
        <f t="shared" si="2"/>
        <v>12.05</v>
      </c>
    </row>
    <row r="20" spans="2:16" ht="20.149999999999999" customHeight="1" x14ac:dyDescent="0.45">
      <c r="B20" s="29"/>
      <c r="C20" s="212" t="s">
        <v>810</v>
      </c>
      <c r="D20" s="461" t="str">
        <f>VLOOKUP(C20,'Sales Master'!B$3:D$530,2,)</f>
        <v>Tapioca Flour 茨粉</v>
      </c>
      <c r="E20" s="461"/>
      <c r="F20" s="461"/>
      <c r="G20" s="76">
        <v>3</v>
      </c>
      <c r="H20" s="186" t="str">
        <f>VLOOKUP(C20,'Sales Master'!$B$3:$F$2481,5,0)</f>
        <v xml:space="preserve">500 GM/pkt </v>
      </c>
      <c r="I20" s="497" t="str">
        <f>VLOOKUP(C20,'Sales Master'!$B$3:$E$2481,4,0)</f>
        <v>F/man 飞人</v>
      </c>
      <c r="J20" s="497"/>
      <c r="K20" s="30">
        <f>VLOOKUP(C20,'Sales Master'!B$3:AD$530,29,0)</f>
        <v>0.8</v>
      </c>
      <c r="L20" s="64">
        <f t="shared" ref="L20" si="3">K20*G20</f>
        <v>2.4000000000000004</v>
      </c>
      <c r="M20" s="65"/>
      <c r="N20" s="145">
        <f>VLOOKUP(C20,'Sales Master'!$B$3:$DA$2272,104,0)</f>
        <v>0.62</v>
      </c>
      <c r="O20" s="145">
        <f t="shared" ref="O20" si="4">K20-N20</f>
        <v>0.18000000000000005</v>
      </c>
      <c r="P20" s="145">
        <f t="shared" ref="P20" si="5">O20*G20</f>
        <v>0.54000000000000015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SUM(L14:L29)</f>
        <v>28.4</v>
      </c>
      <c r="M30" s="63">
        <f>SUM(P18:P29)</f>
        <v>16.29</v>
      </c>
      <c r="N30" s="133">
        <f>M30/L30</f>
        <v>0.57359154929577461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2.5559999999999996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30.956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3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I23:J23"/>
    <mergeCell ref="J30:K30"/>
    <mergeCell ref="J32:K32"/>
    <mergeCell ref="J34:K34"/>
    <mergeCell ref="D28:F28"/>
    <mergeCell ref="I28:J28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68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1385</v>
      </c>
      <c r="J10" s="24" t="s">
        <v>27</v>
      </c>
      <c r="K10" s="493">
        <v>202501150</v>
      </c>
      <c r="L10" s="494"/>
      <c r="N10" s="19" t="s">
        <v>754</v>
      </c>
      <c r="O10" s="19" t="s">
        <v>1375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BLK 118 RIVERVALE DRIVE                      #01-K16 RIVERVALE PLAZA,    SINGAPORE 540118</v>
      </c>
      <c r="G11" s="481"/>
      <c r="H11" s="482"/>
      <c r="J11" s="26" t="s">
        <v>9</v>
      </c>
      <c r="K11" s="495">
        <v>45664</v>
      </c>
      <c r="L11" s="496"/>
      <c r="N11" s="19" t="s">
        <v>1742</v>
      </c>
      <c r="O11" s="19" t="s">
        <v>1900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810</v>
      </c>
      <c r="O12" s="19" t="s">
        <v>242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1769</v>
      </c>
      <c r="O13" s="19" t="s">
        <v>1562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7" t="s">
        <v>810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6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21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474"/>
      <c r="J27" s="474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SUM(L14:L25)</f>
        <v>38</v>
      </c>
      <c r="M29" s="63">
        <f>SUM(P18:P25)</f>
        <v>21.86</v>
      </c>
      <c r="N29" s="133">
        <f>M29/L29</f>
        <v>0.57526315789473681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38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3.42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41.42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68" spans="4:6" x14ac:dyDescent="0.45">
      <c r="D1048568" s="461" t="e">
        <f>VLOOKUP(C1048568,'Sales Master'!B$3:D$530,2,)</f>
        <v>#N/A</v>
      </c>
      <c r="E1048568" s="461"/>
      <c r="F1048568" s="461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21:J21"/>
    <mergeCell ref="D22:F22"/>
    <mergeCell ref="I22:J22"/>
    <mergeCell ref="D21:F21"/>
    <mergeCell ref="D19:F19"/>
    <mergeCell ref="I19:J19"/>
    <mergeCell ref="I17:J17"/>
    <mergeCell ref="D20:F20"/>
    <mergeCell ref="I20:J20"/>
    <mergeCell ref="D1048568:F1048568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18" workbookViewId="0">
      <selection activeCell="K25" sqref="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1412</v>
      </c>
      <c r="J10" s="24" t="s">
        <v>27</v>
      </c>
      <c r="K10" s="493">
        <v>202301239</v>
      </c>
      <c r="L10" s="494"/>
    </row>
    <row r="11" spans="2:12" ht="20.149999999999999" customHeight="1" x14ac:dyDescent="0.45">
      <c r="B11" s="217"/>
      <c r="C11" s="218"/>
      <c r="D11" s="219"/>
      <c r="E11" s="25"/>
      <c r="F11" s="480" t="str">
        <f>VLOOKUP(H10,'Delivery Location'!A$4:N$460,2,0)</f>
        <v>TUCK SHOP                                                  One Punggol Hawker Centre, 1 Punggol Drive, #02-32, Singapore 828629</v>
      </c>
      <c r="G11" s="481"/>
      <c r="H11" s="482"/>
      <c r="J11" s="26" t="s">
        <v>9</v>
      </c>
      <c r="K11" s="495">
        <v>44939</v>
      </c>
      <c r="L11" s="496"/>
    </row>
    <row r="12" spans="2:12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739</v>
      </c>
      <c r="D18" s="461" t="str">
        <f>VLOOKUP(C18,'Sales Master'!B$3:D$530,2,)</f>
        <v>Coconut Sugar Syrup 椰糖浆</v>
      </c>
      <c r="E18" s="461"/>
      <c r="F18" s="461"/>
      <c r="G18" s="76">
        <v>3</v>
      </c>
      <c r="H18" s="188" t="str">
        <f>VLOOKUP(C18,'Sales Master'!$B$3:$F$2481,5,0)</f>
        <v>4 KG/ Btl支</v>
      </c>
      <c r="I18" s="497" t="str">
        <f>VLOOKUP(C18,'Sales Master'!$B$3:$E$2481,4,0)</f>
        <v>DO!</v>
      </c>
      <c r="J18" s="497"/>
      <c r="K18" s="30">
        <f>VLOOKUP(C18,'Sales Master'!B$3:CG$530,77,0)</f>
        <v>0</v>
      </c>
      <c r="L18" s="64">
        <f>K18*G18</f>
        <v>0</v>
      </c>
      <c r="M18" s="65"/>
      <c r="N18" s="145">
        <f>VLOOKUP(C18,'Sales Master'!$B$3:$DA$2272,104,0)</f>
        <v>8.89</v>
      </c>
      <c r="O18" s="145">
        <f>K18-N18</f>
        <v>-8.89</v>
      </c>
      <c r="P18" s="145">
        <f>O18*G18</f>
        <v>-26.67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204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98" t="s">
        <v>1912</v>
      </c>
      <c r="D23" s="232"/>
      <c r="E23" s="232"/>
      <c r="F23" s="232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 t="s">
        <v>739</v>
      </c>
      <c r="D24" s="461" t="str">
        <f>VLOOKUP(C24,'Sales Master'!B$3:D$530,2,)</f>
        <v>Coconut Sugar Syrup 椰糖浆</v>
      </c>
      <c r="E24" s="461"/>
      <c r="F24" s="461"/>
      <c r="G24" s="76">
        <v>1</v>
      </c>
      <c r="H24" s="188" t="str">
        <f>VLOOKUP(C24,'Sales Master'!$B$3:$F$2481,5,0)</f>
        <v>4 KG/ Btl支</v>
      </c>
      <c r="I24" s="497" t="str">
        <f>VLOOKUP(C24,'Sales Master'!$B$3:$E$2481,4,0)</f>
        <v>DO!</v>
      </c>
      <c r="J24" s="497"/>
      <c r="K24" s="30">
        <v>18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SUM(L14:L27)</f>
        <v>0</v>
      </c>
      <c r="M31" s="63">
        <f>SUM(P18:P27)</f>
        <v>-26.67</v>
      </c>
      <c r="N31" s="133" t="e">
        <f>M31/L31</f>
        <v>#DIV/0!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J35:K35"/>
    <mergeCell ref="D29:F29"/>
    <mergeCell ref="I29:J29"/>
    <mergeCell ref="J31:K31"/>
    <mergeCell ref="J33:K33"/>
    <mergeCell ref="D27:F27"/>
    <mergeCell ref="I27:J27"/>
    <mergeCell ref="D24:F24"/>
    <mergeCell ref="I24:J24"/>
    <mergeCell ref="D25:F25"/>
    <mergeCell ref="I25:J25"/>
    <mergeCell ref="D26:F26"/>
    <mergeCell ref="I26:J26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30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3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6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6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6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6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6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6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6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1426</v>
      </c>
      <c r="J10" s="24" t="s">
        <v>27</v>
      </c>
      <c r="K10" s="493">
        <v>202501154</v>
      </c>
      <c r="L10" s="494"/>
    </row>
    <row r="11" spans="2:16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301 UPPER THOMSON ROAD                 #01-106 THOMSON PLAZA,    SINGAPORE 574408</v>
      </c>
      <c r="G11" s="481"/>
      <c r="H11" s="482"/>
      <c r="J11" s="26" t="s">
        <v>9</v>
      </c>
      <c r="K11" s="495">
        <v>45664</v>
      </c>
      <c r="L11" s="496"/>
    </row>
    <row r="12" spans="2:16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6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6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6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9" t="s">
        <v>1336</v>
      </c>
      <c r="O17" s="19" t="s">
        <v>1899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9" t="s">
        <v>754</v>
      </c>
      <c r="O18" s="19" t="s">
        <v>1375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5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17.5</v>
      </c>
      <c r="M19" s="65"/>
      <c r="N19" s="19" t="s">
        <v>1742</v>
      </c>
      <c r="O19" s="19" t="s">
        <v>1900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9" t="s">
        <v>810</v>
      </c>
      <c r="O20" s="19" t="s">
        <v>242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9" t="s">
        <v>1769</v>
      </c>
      <c r="O21" s="19" t="s">
        <v>1562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9" t="s">
        <v>1769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6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SUM(L14:L30)</f>
        <v>34.5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34.5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3.105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37.604999999999997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5:F25"/>
    <mergeCell ref="I25:J25"/>
    <mergeCell ref="D21:F21"/>
    <mergeCell ref="I21:J21"/>
    <mergeCell ref="D23:F23"/>
    <mergeCell ref="I23:J23"/>
    <mergeCell ref="D24:F24"/>
    <mergeCell ref="I24:J24"/>
    <mergeCell ref="D22:F22"/>
    <mergeCell ref="I22:J22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18:F18"/>
    <mergeCell ref="I18:J18"/>
    <mergeCell ref="I17:J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0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2.453125" style="19" customWidth="1"/>
    <col min="12" max="12" width="13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1441</v>
      </c>
      <c r="J10" s="24" t="s">
        <v>27</v>
      </c>
      <c r="K10" s="493">
        <v>202501171</v>
      </c>
      <c r="L10" s="494"/>
      <c r="N10" s="19" t="s">
        <v>885</v>
      </c>
    </row>
    <row r="11" spans="2:14" ht="20.149999999999999" customHeight="1" x14ac:dyDescent="0.45">
      <c r="B11" s="477" t="s">
        <v>1442</v>
      </c>
      <c r="C11" s="478"/>
      <c r="D11" s="479"/>
      <c r="E11" s="25"/>
      <c r="F11" s="480" t="str">
        <f>VLOOKUP(H10,'Delivery Location'!A$4:N$460,2,0)</f>
        <v>KOUFU GOURMET PTE LTD                        1 Woodlands Height #05-01                    Singapore 737859</v>
      </c>
      <c r="G11" s="481"/>
      <c r="H11" s="482"/>
      <c r="J11" s="26" t="s">
        <v>9</v>
      </c>
      <c r="K11" s="495">
        <v>45665</v>
      </c>
      <c r="L11" s="496"/>
      <c r="N11" s="19" t="s">
        <v>913</v>
      </c>
    </row>
    <row r="12" spans="2:14" ht="20.149999999999999" customHeight="1" x14ac:dyDescent="0.45">
      <c r="B12" s="488" t="s">
        <v>1444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2299</v>
      </c>
      <c r="L12" s="464"/>
      <c r="N12" s="17" t="s">
        <v>1248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7" t="s">
        <v>940</v>
      </c>
    </row>
    <row r="14" spans="2:14" ht="20.149999999999999" customHeight="1" x14ac:dyDescent="0.45">
      <c r="B14" s="488" t="s">
        <v>1443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1248</v>
      </c>
      <c r="D18" s="461" t="str">
        <f>VLOOKUP(C18,'Sales Master'!B$3:D$530,2,)</f>
        <v>White Sesame Seeds 白芝麻</v>
      </c>
      <c r="E18" s="461"/>
      <c r="F18" s="461"/>
      <c r="G18" s="76">
        <v>5</v>
      </c>
      <c r="H18" s="186" t="str">
        <f>VLOOKUP(C18,'Sales Master'!$B$3:$F$2481,5,0)</f>
        <v>25 kgs</v>
      </c>
      <c r="I18" s="497" t="str">
        <f>VLOOKUP(C18,'Sales Master'!$B$3:$E$2481,4,0)</f>
        <v>China</v>
      </c>
      <c r="J18" s="497"/>
      <c r="K18" s="80">
        <f>VLOOKUP(C18,'Sales Master'!$B$3:$J$2273,9,0)</f>
        <v>110</v>
      </c>
      <c r="L18" s="64">
        <f>K18*G18</f>
        <v>550</v>
      </c>
      <c r="M18" s="65"/>
      <c r="N18" s="145">
        <f>VLOOKUP(C18,'Sales Master'!$B$3:$DA$2272,104,0)</f>
        <v>105</v>
      </c>
      <c r="O18" s="145">
        <f>K18-N18</f>
        <v>5</v>
      </c>
      <c r="P18" s="145">
        <f>O18*G18</f>
        <v>25</v>
      </c>
      <c r="R18" s="63">
        <f>N18*G18*0.07</f>
        <v>36.75</v>
      </c>
      <c r="S18" s="63">
        <f>N18*G18*0.08</f>
        <v>42</v>
      </c>
    </row>
    <row r="19" spans="2:19" ht="20.149999999999999" customHeight="1" x14ac:dyDescent="0.45">
      <c r="B19" s="29"/>
      <c r="C19" s="212" t="s">
        <v>940</v>
      </c>
      <c r="D19" s="461" t="str">
        <f>VLOOKUP(C19,'Sales Master'!B$3:D$530,2,)</f>
        <v>Black Sesame Seeds 黑芝麻</v>
      </c>
      <c r="E19" s="461"/>
      <c r="F19" s="461"/>
      <c r="G19" s="76">
        <v>2</v>
      </c>
      <c r="H19" s="186" t="str">
        <f>VLOOKUP(C19,'Sales Master'!$B$3:$F$2481,5,0)</f>
        <v>25 kgs</v>
      </c>
      <c r="I19" s="497" t="str">
        <f>VLOOKUP(C19,'Sales Master'!$B$3:$E$2481,4,0)</f>
        <v>GD</v>
      </c>
      <c r="J19" s="497"/>
      <c r="K19" s="80">
        <f>VLOOKUP(C19,'Sales Master'!$B$3:$J$2273,9,0)</f>
        <v>125</v>
      </c>
      <c r="L19" s="64">
        <f>K19*G19</f>
        <v>250</v>
      </c>
      <c r="M19" s="65"/>
      <c r="N19" s="145">
        <f>VLOOKUP(C19,'Sales Master'!$B$3:$DA$2272,104,0)</f>
        <v>112.5</v>
      </c>
      <c r="O19" s="145">
        <f>K19-N19</f>
        <v>12.5</v>
      </c>
      <c r="P19" s="145">
        <f>O19*G19</f>
        <v>25</v>
      </c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8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6"/>
      <c r="I23" s="497"/>
      <c r="J23" s="497"/>
      <c r="K23" s="586"/>
      <c r="L23" s="587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5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thickBot="1" x14ac:dyDescent="0.5">
      <c r="B26" s="32"/>
      <c r="C26" s="33"/>
      <c r="D26" s="490"/>
      <c r="E26" s="490"/>
      <c r="F26" s="490"/>
      <c r="G26" s="33"/>
      <c r="H26" s="57"/>
      <c r="I26" s="474"/>
      <c r="J26" s="474"/>
      <c r="K26" s="34"/>
      <c r="L26" s="35"/>
    </row>
    <row r="27" spans="2:19" ht="20.149999999999999" customHeight="1" thickBot="1" x14ac:dyDescent="0.5">
      <c r="B27" s="36"/>
      <c r="L27" s="37"/>
    </row>
    <row r="28" spans="2:19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SUM(L14:L25)</f>
        <v>800</v>
      </c>
      <c r="M28" s="63">
        <f>SUM(P18:P25)</f>
        <v>50</v>
      </c>
      <c r="N28" s="133">
        <f>M28/L28</f>
        <v>6.25E-2</v>
      </c>
    </row>
    <row r="29" spans="2:19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9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800</v>
      </c>
    </row>
    <row r="31" spans="2:19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72</v>
      </c>
    </row>
    <row r="32" spans="2:19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872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7">
    <mergeCell ref="I17:J17"/>
    <mergeCell ref="D17:F17"/>
    <mergeCell ref="D18:F18"/>
    <mergeCell ref="I18:J18"/>
    <mergeCell ref="K23:L23"/>
    <mergeCell ref="D22:F22"/>
    <mergeCell ref="I22:J22"/>
    <mergeCell ref="D20:F20"/>
    <mergeCell ref="D19:F19"/>
    <mergeCell ref="I19:J19"/>
    <mergeCell ref="I20:J20"/>
    <mergeCell ref="D21:F21"/>
    <mergeCell ref="I21:J21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28:K28"/>
    <mergeCell ref="J30:K30"/>
    <mergeCell ref="J32:K32"/>
    <mergeCell ref="D24:F24"/>
    <mergeCell ref="I24:J24"/>
    <mergeCell ref="D25:F25"/>
    <mergeCell ref="I25:J25"/>
    <mergeCell ref="D26:F26"/>
    <mergeCell ref="I26:J26"/>
  </mergeCells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topLeftCell="A6" workbookViewId="0">
      <selection activeCell="K37" sqref="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5.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1461</v>
      </c>
      <c r="J10" s="24" t="s">
        <v>27</v>
      </c>
      <c r="K10" s="493">
        <v>202302112</v>
      </c>
      <c r="L10" s="494"/>
    </row>
    <row r="11" spans="2:12" ht="20.149999999999999" customHeight="1" x14ac:dyDescent="0.45">
      <c r="B11" s="223" t="s">
        <v>1457</v>
      </c>
      <c r="C11" s="218"/>
      <c r="D11" s="219"/>
      <c r="E11" s="25"/>
      <c r="F11" s="480" t="str">
        <f>VLOOKUP(H10,'Delivery Location'!A$4:N$460,2,0)</f>
        <v>Sembawang Central Zone K RN                                    Blk 588C Montreal Drive #01-106 S(753588)</v>
      </c>
      <c r="G11" s="481"/>
      <c r="H11" s="482"/>
      <c r="J11" s="26" t="s">
        <v>9</v>
      </c>
      <c r="K11" s="495">
        <v>44958</v>
      </c>
      <c r="L11" s="496"/>
    </row>
    <row r="12" spans="2:12" ht="20.149999999999999" customHeight="1" x14ac:dyDescent="0.45">
      <c r="B12" s="224" t="s">
        <v>1458</v>
      </c>
      <c r="C12" s="25"/>
      <c r="D12" s="221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1459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1280</v>
      </c>
      <c r="L13" s="464"/>
    </row>
    <row r="14" spans="2:12" ht="20.149999999999999" customHeight="1" x14ac:dyDescent="0.45">
      <c r="B14" s="488" t="s">
        <v>1460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/>
      <c r="D18" s="461" t="s">
        <v>1496</v>
      </c>
      <c r="E18" s="461"/>
      <c r="F18" s="461"/>
      <c r="G18" s="76">
        <v>100</v>
      </c>
      <c r="H18" s="56" t="s">
        <v>1494</v>
      </c>
      <c r="I18" s="497"/>
      <c r="J18" s="497"/>
      <c r="K18" s="30">
        <v>2</v>
      </c>
      <c r="L18" s="64">
        <f>K18*G18</f>
        <v>200</v>
      </c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461" t="s">
        <v>1497</v>
      </c>
      <c r="E19" s="461"/>
      <c r="F19" s="461"/>
      <c r="G19" s="76">
        <v>100</v>
      </c>
      <c r="H19" s="56" t="s">
        <v>1495</v>
      </c>
      <c r="I19" s="497"/>
      <c r="J19" s="497"/>
      <c r="K19" s="30">
        <v>1.8</v>
      </c>
      <c r="L19" s="64">
        <f>K19*G19</f>
        <v>180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 t="s">
        <v>1498</v>
      </c>
      <c r="E20" s="461"/>
      <c r="F20" s="461"/>
      <c r="G20" s="76">
        <v>111</v>
      </c>
      <c r="H20" s="56" t="s">
        <v>1500</v>
      </c>
      <c r="I20" s="497"/>
      <c r="J20" s="497"/>
      <c r="K20" s="30">
        <v>11.8</v>
      </c>
      <c r="L20" s="64">
        <f>K20*G20</f>
        <v>1309.8000000000002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 t="s">
        <v>1499</v>
      </c>
      <c r="E21" s="461"/>
      <c r="F21" s="461"/>
      <c r="G21" s="76">
        <v>111</v>
      </c>
      <c r="H21" s="56" t="s">
        <v>1501</v>
      </c>
      <c r="I21" s="497"/>
      <c r="J21" s="497"/>
      <c r="K21" s="30">
        <v>3.8</v>
      </c>
      <c r="L21" s="64">
        <f>K21*G21</f>
        <v>421.79999999999995</v>
      </c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6"/>
      <c r="I28" s="516"/>
      <c r="J28" s="51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6"/>
      <c r="I29" s="516"/>
      <c r="J29" s="51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5"/>
      <c r="I30" s="491"/>
      <c r="J30" s="491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SUM(L14:L30)</f>
        <v>2111.6000000000004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3.52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2108.0800000000004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189.72720000000004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2297.8072000000002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A9" workbookViewId="0">
      <selection activeCell="C33" sqref="C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1471</v>
      </c>
      <c r="J10" s="24" t="s">
        <v>27</v>
      </c>
      <c r="K10" s="493">
        <v>202501174</v>
      </c>
      <c r="L10" s="494"/>
      <c r="N10" s="19" t="s">
        <v>754</v>
      </c>
      <c r="O10" s="19" t="s">
        <v>1375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R&amp;B TEA SINGAPORE                                 BLK 678A WOODLANDS AVE 6              #01-08A, SINGAPORE 731678</v>
      </c>
      <c r="G11" s="481"/>
      <c r="H11" s="482"/>
      <c r="J11" s="26" t="s">
        <v>9</v>
      </c>
      <c r="K11" s="495">
        <v>45665</v>
      </c>
      <c r="L11" s="496"/>
      <c r="N11" s="19" t="s">
        <v>1742</v>
      </c>
      <c r="O11" s="19" t="s">
        <v>1900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810</v>
      </c>
      <c r="O12" s="19" t="s">
        <v>242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1769</v>
      </c>
      <c r="O13" s="19" t="s">
        <v>1562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6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 t="shared" ref="L19" si="0">K19*G19</f>
        <v>21</v>
      </c>
      <c r="M19" s="65"/>
      <c r="N19" s="145">
        <f>VLOOKUP(C19,'Sales Master'!$B$3:$DA$2272,104,0)</f>
        <v>1.0900000000000001</v>
      </c>
      <c r="O19" s="145">
        <f t="shared" ref="O19" si="1">K19-N19</f>
        <v>2.41</v>
      </c>
      <c r="P19" s="145">
        <f t="shared" ref="P19" si="2"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38</v>
      </c>
      <c r="M30" s="63">
        <f>SUM(P18:P26)</f>
        <v>21.86</v>
      </c>
      <c r="N30" s="133">
        <f>M30/L30</f>
        <v>0.57526315789473681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45"/>
  <sheetViews>
    <sheetView topLeftCell="A15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7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7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7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7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7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7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7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1472</v>
      </c>
      <c r="J10" s="24" t="s">
        <v>27</v>
      </c>
      <c r="K10" s="493">
        <v>202501069</v>
      </c>
      <c r="L10" s="494"/>
    </row>
    <row r="11" spans="2:17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Vivo City @Ice Shop #16                               1, Harbourfront Walk #03-01, VivoCity   Singapore 098585                           </v>
      </c>
      <c r="G11" s="481"/>
      <c r="H11" s="482"/>
      <c r="J11" s="26" t="s">
        <v>9</v>
      </c>
      <c r="K11" s="495">
        <v>45660</v>
      </c>
      <c r="L11" s="496"/>
    </row>
    <row r="12" spans="2:17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7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7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1709</v>
      </c>
      <c r="O14" s="19" t="s">
        <v>1752</v>
      </c>
    </row>
    <row r="15" spans="2:17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7" t="s">
        <v>1184</v>
      </c>
      <c r="O15" s="461" t="e">
        <f>VLOOKUP(N15,'Sales Master'!M$3:O$530,2,)</f>
        <v>#N/A</v>
      </c>
      <c r="P15" s="461"/>
      <c r="Q15" s="461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29"/>
      <c r="C18" s="212" t="s">
        <v>1416</v>
      </c>
      <c r="D18" s="499" t="str">
        <f>VLOOKUP(C18,'Sales Master'!B$3:D$530,2,)</f>
        <v>Mini Sweet Potato Q - Orange 番薯粉圆</v>
      </c>
      <c r="E18" s="499"/>
      <c r="F18" s="499"/>
      <c r="G18" s="76">
        <v>4</v>
      </c>
      <c r="H18" s="183" t="str">
        <f>VLOOKUP(C18,'Sales Master'!$B$3:$F$2413,5,0)</f>
        <v>700 GM/ Box盒</v>
      </c>
      <c r="I18" s="462" t="str">
        <f>VLOOKUP(C18,'Sales Master'!$B$3:$E$2413,4,0)</f>
        <v>DO!</v>
      </c>
      <c r="J18" s="462"/>
      <c r="K18" s="83">
        <f>VLOOKUP(C18,'Sales Master'!B$3:I$530,8,0)</f>
        <v>6</v>
      </c>
      <c r="L18" s="84">
        <f t="shared" ref="L18" si="0">K18*G18</f>
        <v>24</v>
      </c>
      <c r="N18" s="418"/>
      <c r="O18" s="418"/>
      <c r="P18" s="418"/>
    </row>
    <row r="19" spans="2:16" ht="20.149999999999999" customHeight="1" x14ac:dyDescent="0.45">
      <c r="B19" s="29"/>
      <c r="C19" s="212" t="s">
        <v>1422</v>
      </c>
      <c r="D19" s="461" t="str">
        <f>VLOOKUP(C19,'Sales Master'!B$3:D$530,2,)</f>
        <v>Mini Taro Q - White 芋头粉圆</v>
      </c>
      <c r="E19" s="461"/>
      <c r="F19" s="461"/>
      <c r="G19" s="76">
        <v>2</v>
      </c>
      <c r="H19" s="183" t="str">
        <f>VLOOKUP(C19,'Sales Master'!$B$3:$F$2413,5,0)</f>
        <v>700 GM/ Box盒</v>
      </c>
      <c r="I19" s="462" t="str">
        <f>VLOOKUP(C19,'Sales Master'!$B$3:$E$2413,4,0)</f>
        <v>DO!</v>
      </c>
      <c r="J19" s="462"/>
      <c r="K19" s="83">
        <f>VLOOKUP(C19,'Sales Master'!B$3:I$530,8,0)</f>
        <v>8</v>
      </c>
      <c r="L19" s="84">
        <f t="shared" ref="L19" si="1">K19*G19</f>
        <v>16</v>
      </c>
      <c r="N19" s="145"/>
      <c r="O19" s="145"/>
      <c r="P19" s="145"/>
    </row>
    <row r="20" spans="2:16" ht="20" customHeight="1" x14ac:dyDescent="0.45">
      <c r="B20" s="29"/>
      <c r="C20" s="212" t="s">
        <v>834</v>
      </c>
      <c r="D20" s="461" t="str">
        <f>VLOOKUP(C20,'Sales Master'!B$3:D$530,2,)</f>
        <v>GingKo Nut (Peel off) 白果仁</v>
      </c>
      <c r="E20" s="461"/>
      <c r="F20" s="461"/>
      <c r="G20" s="76">
        <v>2</v>
      </c>
      <c r="H20" s="183" t="str">
        <f>VLOOKUP(C20,'Sales Master'!$B$3:$F$2413,5,0)</f>
        <v>1 KG (500 GM X 2)</v>
      </c>
      <c r="I20" s="462" t="str">
        <f>VLOOKUP(C20,'Sales Master'!$B$3:$E$2413,4,0)</f>
        <v>-</v>
      </c>
      <c r="J20" s="462"/>
      <c r="K20" s="83">
        <f>VLOOKUP(C20,'Sales Master'!B$3:I$530,8,0)</f>
        <v>4.5</v>
      </c>
      <c r="L20" s="84">
        <f>K20*G20</f>
        <v>9</v>
      </c>
      <c r="N20" s="145"/>
      <c r="O20" s="145"/>
      <c r="P20" s="145"/>
    </row>
    <row r="21" spans="2:16" ht="20" customHeight="1" x14ac:dyDescent="0.45">
      <c r="B21" s="29"/>
      <c r="C21" s="212" t="s">
        <v>836</v>
      </c>
      <c r="D21" s="461" t="str">
        <f>VLOOKUP(C21,'Sales Master'!B$3:D$530,2,)</f>
        <v>Red Bean 红豆 (5.5 mm)</v>
      </c>
      <c r="E21" s="461"/>
      <c r="F21" s="461"/>
      <c r="G21" s="76">
        <v>1</v>
      </c>
      <c r="H21" s="183" t="str">
        <f>VLOOKUP(C21,'Sales Master'!$B$3:$F$2413,5,0)</f>
        <v>5 KG</v>
      </c>
      <c r="I21" s="462" t="str">
        <f>VLOOKUP(C21,'Sales Master'!$B$3:$E$2413,4,0)</f>
        <v>-</v>
      </c>
      <c r="J21" s="462"/>
      <c r="K21" s="83">
        <f>VLOOKUP(C21,'Sales Master'!B$3:I$530,8,0)</f>
        <v>17.5</v>
      </c>
      <c r="L21" s="84">
        <f t="shared" ref="L21" si="2">K21*G21</f>
        <v>17.5</v>
      </c>
      <c r="N21" s="398"/>
      <c r="O21" s="398"/>
      <c r="P21" s="398"/>
    </row>
    <row r="22" spans="2:16" ht="20.149999999999999" customHeight="1" x14ac:dyDescent="0.45">
      <c r="B22" s="29"/>
      <c r="C22" s="212" t="s">
        <v>849</v>
      </c>
      <c r="D22" s="461" t="str">
        <f>VLOOKUP(C22,'Sales Master'!B$3:D$530,2,)</f>
        <v>Green Bean 绿豆</v>
      </c>
      <c r="E22" s="461"/>
      <c r="F22" s="461"/>
      <c r="G22" s="76">
        <v>1</v>
      </c>
      <c r="H22" s="183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13</v>
      </c>
      <c r="L22" s="84">
        <f t="shared" ref="L22:L24" si="3">K22*G22</f>
        <v>13</v>
      </c>
      <c r="N22" s="145"/>
      <c r="O22" s="145"/>
      <c r="P22" s="145"/>
    </row>
    <row r="23" spans="2:16" ht="20" customHeight="1" x14ac:dyDescent="0.45">
      <c r="B23" s="29"/>
      <c r="C23" s="212" t="s">
        <v>861</v>
      </c>
      <c r="D23" s="461" t="str">
        <f>VLOOKUP(C23,'Sales Master'!B$3:D$530,2,)</f>
        <v>Black Glutinous Rice 黑糯米</v>
      </c>
      <c r="E23" s="461"/>
      <c r="F23" s="461"/>
      <c r="G23" s="76">
        <v>1</v>
      </c>
      <c r="H23" s="183" t="str">
        <f>VLOOKUP(C23,'Sales Master'!$B$3:$F$2413,5,0)</f>
        <v>5 KGS</v>
      </c>
      <c r="I23" s="462" t="str">
        <f>VLOOKUP(C23,'Sales Master'!$B$3:$E$2413,4,0)</f>
        <v>-</v>
      </c>
      <c r="J23" s="462"/>
      <c r="K23" s="83">
        <f>VLOOKUP(C23,'Sales Master'!B$3:I$530,8,0)</f>
        <v>18</v>
      </c>
      <c r="L23" s="84">
        <f>K23*G23</f>
        <v>18</v>
      </c>
      <c r="N23" s="398"/>
      <c r="O23" s="398"/>
      <c r="P23" s="398"/>
    </row>
    <row r="24" spans="2:16" ht="20" customHeight="1" x14ac:dyDescent="0.45">
      <c r="B24" s="29"/>
      <c r="C24" s="212" t="s">
        <v>870</v>
      </c>
      <c r="D24" s="461" t="str">
        <f>VLOOKUP(C24,'Sales Master'!B$3:D$530,2,)</f>
        <v>Pearl Barley 薏米</v>
      </c>
      <c r="E24" s="461"/>
      <c r="F24" s="461"/>
      <c r="G24" s="76">
        <v>1</v>
      </c>
      <c r="H24" s="183" t="str">
        <f>VLOOKUP(C24,'Sales Master'!$B$3:$F$2413,5,0)</f>
        <v>5 KG</v>
      </c>
      <c r="I24" s="462" t="str">
        <f>VLOOKUP(C24,'Sales Master'!$B$3:$E$2413,4,0)</f>
        <v>-</v>
      </c>
      <c r="J24" s="462"/>
      <c r="K24" s="83">
        <f>VLOOKUP(C24,'Sales Master'!B$3:I$530,8,0)</f>
        <v>10</v>
      </c>
      <c r="L24" s="84">
        <f t="shared" si="3"/>
        <v>10</v>
      </c>
      <c r="N24" s="398"/>
      <c r="O24" s="398"/>
      <c r="P24" s="398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3"/>
      <c r="I25" s="462"/>
      <c r="J25" s="462"/>
      <c r="K25" s="83"/>
      <c r="L25" s="84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76"/>
      <c r="H26" s="183"/>
      <c r="I26" s="462"/>
      <c r="J26" s="462"/>
      <c r="K26" s="83"/>
      <c r="L26" s="84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76"/>
      <c r="H27" s="183"/>
      <c r="I27" s="462"/>
      <c r="J27" s="462"/>
      <c r="K27" s="83"/>
      <c r="L27" s="84"/>
      <c r="N27" s="145"/>
      <c r="O27" s="145"/>
      <c r="P27" s="145"/>
    </row>
    <row r="28" spans="2:16" ht="20" customHeight="1" x14ac:dyDescent="0.45">
      <c r="B28" s="29"/>
      <c r="C28" s="212"/>
      <c r="G28" s="76"/>
      <c r="H28" s="183"/>
      <c r="I28" s="209"/>
      <c r="J28" s="209"/>
      <c r="K28" s="83"/>
      <c r="L28" s="84"/>
      <c r="N28" s="145"/>
      <c r="O28" s="145"/>
      <c r="P28" s="145"/>
    </row>
    <row r="29" spans="2:16" ht="20" customHeight="1" x14ac:dyDescent="0.45">
      <c r="B29" s="29"/>
      <c r="C29" s="212"/>
      <c r="G29" s="76"/>
      <c r="H29" s="183"/>
      <c r="I29" s="209"/>
      <c r="J29" s="209"/>
      <c r="K29" s="83"/>
      <c r="L29" s="84"/>
      <c r="N29" s="145"/>
      <c r="O29" s="145"/>
      <c r="P29" s="145"/>
    </row>
    <row r="30" spans="2:16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SUM(L18:L30)</f>
        <v>107.5</v>
      </c>
      <c r="M32" s="63"/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107.5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9.6749999999999989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117.175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2"/>
    </row>
  </sheetData>
  <mergeCells count="40">
    <mergeCell ref="D26:F26"/>
    <mergeCell ref="I26:J26"/>
    <mergeCell ref="I25:J25"/>
    <mergeCell ref="D25:F25"/>
    <mergeCell ref="O15:Q15"/>
    <mergeCell ref="D17:F17"/>
    <mergeCell ref="I17:J17"/>
    <mergeCell ref="K15:L15"/>
    <mergeCell ref="I18:J18"/>
    <mergeCell ref="D18:F18"/>
    <mergeCell ref="I19:J19"/>
    <mergeCell ref="I20:J20"/>
    <mergeCell ref="D19:F19"/>
    <mergeCell ref="D20:F20"/>
    <mergeCell ref="D24:F24"/>
    <mergeCell ref="I24:J24"/>
    <mergeCell ref="J36:K36"/>
    <mergeCell ref="J32:K32"/>
    <mergeCell ref="J34:K34"/>
    <mergeCell ref="D30:F30"/>
    <mergeCell ref="D27:F27"/>
    <mergeCell ref="I27:J27"/>
    <mergeCell ref="I21:J21"/>
    <mergeCell ref="D21:F21"/>
    <mergeCell ref="D23:F23"/>
    <mergeCell ref="I23:J23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18">
    <cfRule type="duplicateValues" dxfId="29" priority="1"/>
  </conditionalFormatting>
  <conditionalFormatting sqref="N15">
    <cfRule type="duplicateValues" dxfId="28" priority="8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3"/>
  <sheetViews>
    <sheetView topLeftCell="A9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7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7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7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7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7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7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7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1473</v>
      </c>
      <c r="J10" s="24" t="s">
        <v>27</v>
      </c>
      <c r="K10" s="493">
        <v>202412153</v>
      </c>
      <c r="L10" s="494"/>
    </row>
    <row r="11" spans="2:17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Vivo City @Drink Stall #16A                        1, Harbourfront Walk #03-01, VivoCity   Singapore 098585                           </v>
      </c>
      <c r="G11" s="481"/>
      <c r="H11" s="482"/>
      <c r="J11" s="26" t="s">
        <v>9</v>
      </c>
      <c r="K11" s="495">
        <v>45633</v>
      </c>
      <c r="L11" s="496"/>
    </row>
    <row r="12" spans="2:17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7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7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1454</v>
      </c>
    </row>
    <row r="15" spans="2:17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7" t="s">
        <v>1184</v>
      </c>
      <c r="O15" s="461" t="e">
        <f>VLOOKUP(N15,'Sales Master'!M$3:O$530,2,)</f>
        <v>#N/A</v>
      </c>
      <c r="P15" s="461"/>
      <c r="Q15" s="461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870</v>
      </c>
      <c r="D18" s="461" t="str">
        <f>VLOOKUP(C18,'Sales Master'!B$3:D$530,2,)</f>
        <v>Pearl Barley 薏米</v>
      </c>
      <c r="E18" s="461"/>
      <c r="F18" s="461"/>
      <c r="G18" s="76">
        <v>2</v>
      </c>
      <c r="H18" s="183" t="str">
        <f>VLOOKUP(C18,'Sales Master'!$B$3:$F$2413,5,0)</f>
        <v>5 KG</v>
      </c>
      <c r="I18" s="462" t="str">
        <f>VLOOKUP(C18,'Sales Master'!$B$3:$E$2413,4,0)</f>
        <v>-</v>
      </c>
      <c r="J18" s="462"/>
      <c r="K18" s="83">
        <f>VLOOKUP(C18,'Sales Master'!B$3:I$530,8,0)</f>
        <v>10</v>
      </c>
      <c r="L18" s="84">
        <f>K18*G18</f>
        <v>20</v>
      </c>
      <c r="N18" s="145">
        <f>VLOOKUP(C18,'Sales Master'!$B$3:$DA$2272,104,0)</f>
        <v>7.6</v>
      </c>
      <c r="O18" s="145">
        <f>K18-N18</f>
        <v>2.4000000000000004</v>
      </c>
      <c r="P18" s="145">
        <f>O18*G18</f>
        <v>4.8000000000000007</v>
      </c>
      <c r="Q18" s="170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29"/>
      <c r="C19" s="212" t="s">
        <v>916</v>
      </c>
      <c r="D19" s="461" t="str">
        <f>VLOOKUP(C19,'Sales Master'!B$3:D$530,2,)</f>
        <v>Sour Plum 酸梅(无子)</v>
      </c>
      <c r="E19" s="461"/>
      <c r="F19" s="461"/>
      <c r="G19" s="76">
        <v>1</v>
      </c>
      <c r="H19" s="183" t="str">
        <f>VLOOKUP(C19,'Sales Master'!$B$3:$F$2413,5,0)</f>
        <v>1 kg</v>
      </c>
      <c r="I19" s="462" t="str">
        <f>VLOOKUP(C19,'Sales Master'!$B$3:$E$2413,4,0)</f>
        <v>-</v>
      </c>
      <c r="J19" s="462"/>
      <c r="K19" s="83">
        <f>VLOOKUP(C19,'Sales Master'!B$3:I$530,8,0)</f>
        <v>19</v>
      </c>
      <c r="L19" s="84">
        <f t="shared" ref="L19" si="0">K19*G19</f>
        <v>19</v>
      </c>
      <c r="N19" s="145">
        <f>VLOOKUP(C19,'Sales Master'!$B$3:$DA$2272,104,0)</f>
        <v>14.533333333333333</v>
      </c>
      <c r="O19" s="145">
        <f t="shared" ref="O19" si="1">K19-N19</f>
        <v>4.4666666666666668</v>
      </c>
      <c r="P19" s="145">
        <f t="shared" ref="P19" si="2">O19*G19</f>
        <v>4.4666666666666668</v>
      </c>
      <c r="Q19" s="170"/>
      <c r="R19" s="93"/>
      <c r="S19" s="93"/>
      <c r="T19" s="93"/>
    </row>
    <row r="20" spans="2:22" ht="20.149999999999999" customHeight="1" x14ac:dyDescent="0.45">
      <c r="B20" s="58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Q20" s="170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39</v>
      </c>
      <c r="M30" s="63">
        <f>SUM(P18:P28)</f>
        <v>9.2666666666666675</v>
      </c>
      <c r="N30" s="133">
        <f>M30/L30</f>
        <v>0.23760683760683762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2">
    <mergeCell ref="D20:F20"/>
    <mergeCell ref="I20:J20"/>
    <mergeCell ref="D22:F22"/>
    <mergeCell ref="I22:J22"/>
    <mergeCell ref="D19:F19"/>
    <mergeCell ref="I19:J19"/>
    <mergeCell ref="D21:F21"/>
    <mergeCell ref="I21:J21"/>
    <mergeCell ref="J34:K34"/>
    <mergeCell ref="D26:F26"/>
    <mergeCell ref="I26:J26"/>
    <mergeCell ref="D28:F28"/>
    <mergeCell ref="J30:K30"/>
    <mergeCell ref="J32:K32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27" priority="1"/>
  </conditionalFormatting>
  <conditionalFormatting sqref="C19">
    <cfRule type="duplicateValues" dxfId="26" priority="2"/>
  </conditionalFormatting>
  <conditionalFormatting sqref="C20">
    <cfRule type="duplicateValues" dxfId="25" priority="3"/>
  </conditionalFormatting>
  <conditionalFormatting sqref="C21">
    <cfRule type="duplicateValues" dxfId="24" priority="14"/>
  </conditionalFormatting>
  <conditionalFormatting sqref="N15">
    <cfRule type="duplicateValues" dxfId="23" priority="9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30F9-8326-4AEF-9654-CE1DC78FE95A}">
  <sheetPr>
    <tabColor rgb="FF7030A0"/>
    <pageSetUpPr fitToPage="1"/>
  </sheetPr>
  <dimension ref="B1:P43"/>
  <sheetViews>
    <sheetView topLeftCell="B1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6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6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6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6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6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6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6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6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6" ht="19" thickBot="1" x14ac:dyDescent="0.5">
      <c r="B9" s="18"/>
      <c r="N9" s="480" t="str">
        <f>VLOOKUP(H10,'Delivery Location'!A$4:V$460,2,0)</f>
        <v>TEL: 91548191                                                                                          80 Bendemeer Road #01-01 Singapore 339949</v>
      </c>
      <c r="O9" s="481"/>
      <c r="P9" s="482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128</v>
      </c>
      <c r="J10" s="24" t="s">
        <v>27</v>
      </c>
      <c r="K10" s="493">
        <v>202411254</v>
      </c>
      <c r="L10" s="494"/>
      <c r="N10" s="483"/>
      <c r="O10" s="484"/>
      <c r="P10" s="485"/>
    </row>
    <row r="11" spans="2:16" ht="20.149999999999999" customHeight="1" x14ac:dyDescent="0.45">
      <c r="B11" s="477" t="s">
        <v>705</v>
      </c>
      <c r="C11" s="478"/>
      <c r="D11" s="479"/>
      <c r="E11" s="25"/>
      <c r="F11" s="480" t="str">
        <f>VLOOKUP(H10,'Delivery Location'!A$4:V$460,2,0)</f>
        <v>TEL: 91548191                                                                                          80 Bendemeer Road #01-01 Singapore 339949</v>
      </c>
      <c r="G11" s="481"/>
      <c r="H11" s="482"/>
      <c r="J11" s="26" t="s">
        <v>9</v>
      </c>
      <c r="K11" s="495">
        <v>45607</v>
      </c>
      <c r="L11" s="496"/>
      <c r="N11" s="483"/>
      <c r="O11" s="484"/>
      <c r="P11" s="485"/>
    </row>
    <row r="12" spans="2:16" ht="20.149999999999999" customHeight="1" x14ac:dyDescent="0.45">
      <c r="B12" s="488" t="s">
        <v>706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483"/>
      <c r="O12" s="484"/>
      <c r="P12" s="485"/>
    </row>
    <row r="13" spans="2:16" ht="20.149999999999999" customHeight="1" thickBot="1" x14ac:dyDescent="0.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  <c r="N13" s="465"/>
      <c r="O13" s="466"/>
      <c r="P13" s="467"/>
    </row>
    <row r="14" spans="2:16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6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6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284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822</v>
      </c>
      <c r="D18" s="502" t="str">
        <f>VLOOKUP(C18,'Sales Master'!B$3:D$530,2,)</f>
        <v>Red Tea Jelly Powder 红茶果冻粉</v>
      </c>
      <c r="E18" s="502"/>
      <c r="F18" s="502"/>
      <c r="G18" s="17">
        <v>1</v>
      </c>
      <c r="H18" s="186" t="str">
        <f>VLOOKUP(C18,'Sales Master'!$B$3:$E$530,4,0)</f>
        <v>TAIWAN</v>
      </c>
      <c r="I18" s="519" t="str">
        <f>VLOOKUP(C18,'Sales Master'!$B$3:F$530,5,0)</f>
        <v>1 KG</v>
      </c>
      <c r="J18" s="519"/>
      <c r="K18" s="83">
        <f>VLOOKUP(C18,'Sales Master'!$B$3:$BG$2395,58,0)</f>
        <v>17</v>
      </c>
      <c r="L18" s="64">
        <f>K18*G18</f>
        <v>17</v>
      </c>
      <c r="M18" s="65"/>
      <c r="N18" s="145">
        <f>VLOOKUP(C18,'Sales Master'!$B$3:$DA$2272,104,0)</f>
        <v>11.8</v>
      </c>
      <c r="O18" s="145">
        <f>K18-N18</f>
        <v>5.1999999999999993</v>
      </c>
      <c r="P18" s="145">
        <f>O18*G18</f>
        <v>5.1999999999999993</v>
      </c>
    </row>
    <row r="19" spans="2:16" ht="20.149999999999999" customHeight="1" x14ac:dyDescent="0.45">
      <c r="B19" s="29"/>
      <c r="C19" s="212"/>
      <c r="D19" s="518"/>
      <c r="E19" s="518"/>
      <c r="F19" s="518"/>
      <c r="G19" s="17"/>
      <c r="H19" s="186"/>
      <c r="I19" s="497"/>
      <c r="J19" s="497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6" ht="20.149999999999999" customHeight="1" x14ac:dyDescent="0.45">
      <c r="B26" s="29"/>
      <c r="C26" s="198" t="s">
        <v>1893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</row>
    <row r="27" spans="2:16" ht="20.149999999999999" customHeight="1" x14ac:dyDescent="0.45">
      <c r="B27" s="29"/>
      <c r="C27" s="212" t="s">
        <v>1892</v>
      </c>
      <c r="D27" s="517" t="str">
        <f>VLOOKUP(C27,'Sales Master'!B$3:D$530,2,)</f>
        <v>Chin Chow powder 仙草粉</v>
      </c>
      <c r="E27" s="517"/>
      <c r="F27" s="517"/>
      <c r="G27" s="76">
        <v>1</v>
      </c>
      <c r="H27" s="196" t="str">
        <f>VLOOKUP(C27,'Sales Master'!$B$3:$F$2413,5,0)</f>
        <v>2 KG (20 X 100GM)/ Pkt包</v>
      </c>
      <c r="I27" s="462" t="str">
        <f>VLOOKUP(C27,'Sales Master'!$B$3:$E$2413,4,0)</f>
        <v>-</v>
      </c>
      <c r="J27" s="462"/>
      <c r="K27" s="190">
        <v>28</v>
      </c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17</v>
      </c>
      <c r="M31" s="63">
        <f>SUM(P18:P28)</f>
        <v>5.1999999999999993</v>
      </c>
      <c r="N31" s="133">
        <f>M31/L31</f>
        <v>0.30588235294117644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1.53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18.53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N9:P1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7:F27"/>
    <mergeCell ref="I27:J27"/>
    <mergeCell ref="J33:K33"/>
    <mergeCell ref="J35:K35"/>
    <mergeCell ref="D28:F28"/>
    <mergeCell ref="I28:J28"/>
    <mergeCell ref="D29:F29"/>
    <mergeCell ref="I29:J29"/>
    <mergeCell ref="J31:K31"/>
  </mergeCells>
  <conditionalFormatting sqref="C26:C27">
    <cfRule type="duplicateValues" dxfId="225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BA39-F6D4-476C-BF97-D2E9D519ECDF}">
  <sheetPr codeName="Sheet57">
    <tabColor theme="7"/>
    <pageSetUpPr fitToPage="1"/>
  </sheetPr>
  <dimension ref="B1:O50"/>
  <sheetViews>
    <sheetView topLeftCell="A31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1487</v>
      </c>
      <c r="J10" s="24" t="s">
        <v>27</v>
      </c>
      <c r="K10" s="475">
        <v>202501198</v>
      </c>
      <c r="L10" s="476"/>
      <c r="N10" s="19" t="s">
        <v>1040</v>
      </c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Causeway Point @Ice Shop, Woodlands Square #04-01 Causeway Point Singapore 738099                                                        </v>
      </c>
      <c r="G11" s="481"/>
      <c r="H11" s="482"/>
      <c r="J11" s="26" t="s">
        <v>9</v>
      </c>
      <c r="K11" s="486">
        <v>45666</v>
      </c>
      <c r="L11" s="487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4500321208</v>
      </c>
      <c r="L12" s="464"/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520718</v>
      </c>
      <c r="C18" s="212" t="str">
        <f>VLOOKUP(B18,'Sales Master'!A$3:B$530,2,0)</f>
        <v>M1001A</v>
      </c>
      <c r="D18" s="461" t="str">
        <f>VLOOKUP(C18,'Sales Master'!B$3:D$530,2,)</f>
        <v xml:space="preserve">Fresh Soursop 红毛榴莲 </v>
      </c>
      <c r="E18" s="461"/>
      <c r="F18" s="461"/>
      <c r="G18" s="76">
        <v>1</v>
      </c>
      <c r="H18" s="183" t="str">
        <f>VLOOKUP(C18,'Sales Master'!$B$3:$F$2413,5,0)</f>
        <v>GW:5 KG/ Tub桶</v>
      </c>
      <c r="I18" s="462" t="str">
        <f>VLOOKUP(C18,'Sales Master'!$B$3:$E$2413,4,0)</f>
        <v>DO!</v>
      </c>
      <c r="J18" s="462"/>
      <c r="K18" s="83">
        <f>VLOOKUP(C18,'Sales Master'!B$3:I$530,8,0)</f>
        <v>34</v>
      </c>
      <c r="L18" s="84">
        <f t="shared" ref="L18" si="0">K18*G18</f>
        <v>34</v>
      </c>
      <c r="N18" s="19" t="s">
        <v>911</v>
      </c>
      <c r="O18" s="19" t="s">
        <v>268</v>
      </c>
    </row>
    <row r="19" spans="2:15" ht="20.149999999999999" customHeight="1" x14ac:dyDescent="0.45">
      <c r="B19" s="58">
        <v>520699</v>
      </c>
      <c r="C19" s="212" t="str">
        <f>VLOOKUP(B19,'Sales Master'!A$3:B$530,2,0)</f>
        <v>M1013</v>
      </c>
      <c r="D19" s="461" t="str">
        <f>VLOOKUP(C19,'Sales Master'!B$3:D$530,2,)</f>
        <v>Bobo ChaCha Cubes 摩摩喳喳</v>
      </c>
      <c r="E19" s="461"/>
      <c r="F19" s="461"/>
      <c r="G19" s="76">
        <v>3</v>
      </c>
      <c r="H19" s="183" t="str">
        <f>VLOOKUP(C19,'Sales Master'!$B$3:$F$2413,5,0)</f>
        <v>800 GM/ Bag包</v>
      </c>
      <c r="I19" s="462" t="str">
        <f>VLOOKUP(C19,'Sales Master'!$B$3:$E$2413,4,0)</f>
        <v>DO!</v>
      </c>
      <c r="J19" s="462"/>
      <c r="K19" s="83">
        <f>VLOOKUP(C19,'Sales Master'!B$3:I$530,8,0)</f>
        <v>6</v>
      </c>
      <c r="L19" s="84">
        <f>K19*G19</f>
        <v>18</v>
      </c>
    </row>
    <row r="20" spans="2:15" ht="20.149999999999999" customHeight="1" x14ac:dyDescent="0.45">
      <c r="B20" s="58"/>
      <c r="C20" s="212" t="s">
        <v>741</v>
      </c>
      <c r="D20" s="461" t="str">
        <f>VLOOKUP(C20,'Sales Master'!B$3:D$530,2,)</f>
        <v>Pong Thai Hai (Wet) 碰大海(湿)</v>
      </c>
      <c r="E20" s="461"/>
      <c r="F20" s="461"/>
      <c r="G20" s="76">
        <v>3</v>
      </c>
      <c r="H20" s="183" t="str">
        <f>VLOOKUP(C20,'Sales Master'!$B$3:$F$2413,5,0)</f>
        <v>1 KG/ Pkt包</v>
      </c>
      <c r="I20" s="462" t="str">
        <f>VLOOKUP(C20,'Sales Master'!$B$3:$E$2413,4,0)</f>
        <v>DO!</v>
      </c>
      <c r="J20" s="462"/>
      <c r="K20" s="83">
        <f>VLOOKUP(C20,'Sales Master'!B$3:I$530,8,0)</f>
        <v>12</v>
      </c>
      <c r="L20" s="84">
        <f>K20*G20</f>
        <v>36</v>
      </c>
    </row>
    <row r="21" spans="2:15" ht="20.149999999999999" customHeight="1" x14ac:dyDescent="0.45">
      <c r="B21" s="58">
        <v>520723</v>
      </c>
      <c r="C21" s="212" t="str">
        <f>VLOOKUP(B21,'Sales Master'!A$3:B$530,2,0)</f>
        <v>P2001B</v>
      </c>
      <c r="D21" s="461" t="str">
        <f>VLOOKUP(C21,'Sales Master'!B$3:D$530,2,)</f>
        <v>Chin Chow powder 仙草粉</v>
      </c>
      <c r="E21" s="461"/>
      <c r="F21" s="461"/>
      <c r="G21" s="76">
        <v>1</v>
      </c>
      <c r="H21" s="183" t="str">
        <f>VLOOKUP(C21,'Sales Master'!$B$3:$F$2413,5,0)</f>
        <v>5 X 100 GM</v>
      </c>
      <c r="I21" s="462" t="str">
        <f>VLOOKUP(C21,'Sales Master'!$B$3:$E$2413,4,0)</f>
        <v>-</v>
      </c>
      <c r="J21" s="462"/>
      <c r="K21" s="83">
        <f>VLOOKUP(C21,'Sales Master'!B$3:I$530,8,0)</f>
        <v>6.5</v>
      </c>
      <c r="L21" s="84">
        <f>K21*G21</f>
        <v>6.5</v>
      </c>
    </row>
    <row r="22" spans="2:15" ht="20.149999999999999" customHeight="1" x14ac:dyDescent="0.45">
      <c r="B22" s="58">
        <v>520695</v>
      </c>
      <c r="C22" s="212" t="str">
        <f>VLOOKUP(B22,'Sales Master'!A$3:B$530,2,0)</f>
        <v>P3001B</v>
      </c>
      <c r="D22" s="461" t="str">
        <f>VLOOKUP(C22,'Sales Master'!B$3:D$530,2,)</f>
        <v>Atap Seeds in Syrup 亚嗒子</v>
      </c>
      <c r="E22" s="461"/>
      <c r="F22" s="461"/>
      <c r="G22" s="76">
        <v>6</v>
      </c>
      <c r="H22" s="183" t="str">
        <f>VLOOKUP(C22,'Sales Master'!$B$3:$F$2413,5,0)</f>
        <v>NW(1.6:0.6) 2.2kg/ Bag包</v>
      </c>
      <c r="I22" s="462" t="str">
        <f>VLOOKUP(C22,'Sales Master'!$B$3:$E$2413,4,0)</f>
        <v>DO!</v>
      </c>
      <c r="J22" s="462"/>
      <c r="K22" s="83">
        <f>VLOOKUP(C22,'Sales Master'!B$3:I$530,8,0)</f>
        <v>10</v>
      </c>
      <c r="L22" s="84">
        <f>K22*G22</f>
        <v>60</v>
      </c>
    </row>
    <row r="23" spans="2:15" ht="20.149999999999999" customHeight="1" x14ac:dyDescent="0.45">
      <c r="B23" s="58">
        <v>520738</v>
      </c>
      <c r="C23" s="212" t="str">
        <f>VLOOKUP(B23,'Sales Master'!A$3:B$530,2,0)</f>
        <v>P3005A</v>
      </c>
      <c r="D23" s="461" t="str">
        <f>VLOOKUP(C23,'Sales Master'!B$3:D$530,2,)</f>
        <v>Red Bean 红豆 (5.5 mm)</v>
      </c>
      <c r="E23" s="461"/>
      <c r="F23" s="461"/>
      <c r="G23" s="76">
        <v>2</v>
      </c>
      <c r="H23" s="183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17.5</v>
      </c>
      <c r="L23" s="84">
        <f>K23*G23</f>
        <v>35</v>
      </c>
    </row>
    <row r="24" spans="2:15" ht="20.149999999999999" customHeight="1" x14ac:dyDescent="0.45">
      <c r="B24" s="58">
        <v>520724</v>
      </c>
      <c r="C24" s="212" t="str">
        <f>VLOOKUP(B24,'Sales Master'!A$3:B$530,2,0)</f>
        <v>P3009A</v>
      </c>
      <c r="D24" s="461" t="str">
        <f>VLOOKUP(C24,'Sales Master'!B$3:D$530,2,)</f>
        <v>Green Bean 绿豆</v>
      </c>
      <c r="E24" s="461"/>
      <c r="F24" s="461"/>
      <c r="G24" s="76">
        <v>2</v>
      </c>
      <c r="H24" s="183" t="str">
        <f>VLOOKUP(C24,'Sales Master'!$B$3:$F$2413,5,0)</f>
        <v>5 KG</v>
      </c>
      <c r="I24" s="462" t="str">
        <f>VLOOKUP(C24,'Sales Master'!$B$3:$E$2413,4,0)</f>
        <v>-</v>
      </c>
      <c r="J24" s="462"/>
      <c r="K24" s="83">
        <f>VLOOKUP(C24,'Sales Master'!B$3:I$530,8,0)</f>
        <v>13</v>
      </c>
      <c r="L24" s="84">
        <f t="shared" ref="L24" si="1">K24*G24</f>
        <v>26</v>
      </c>
    </row>
    <row r="25" spans="2:15" ht="20.149999999999999" customHeight="1" x14ac:dyDescent="0.45">
      <c r="B25" s="58">
        <v>520746</v>
      </c>
      <c r="C25" s="212" t="str">
        <f>VLOOKUP(B25,'Sales Master'!A$3:B$530,2,0)</f>
        <v>P3012A</v>
      </c>
      <c r="D25" s="461" t="str">
        <f>VLOOKUP(C25,'Sales Master'!B$3:D$530,2,)</f>
        <v>Split Green Mung Bean 豆爽</v>
      </c>
      <c r="E25" s="461"/>
      <c r="F25" s="461"/>
      <c r="G25" s="76">
        <v>2</v>
      </c>
      <c r="H25" s="183" t="str">
        <f>VLOOKUP(C25,'Sales Master'!$B$3:$F$2413,5,0)</f>
        <v>5 KG</v>
      </c>
      <c r="I25" s="462" t="str">
        <f>VLOOKUP(C25,'Sales Master'!$B$3:$E$2413,4,0)</f>
        <v>-</v>
      </c>
      <c r="J25" s="462"/>
      <c r="K25" s="83">
        <f>VLOOKUP(C25,'Sales Master'!B$3:I$530,8,0)</f>
        <v>17</v>
      </c>
      <c r="L25" s="84">
        <f t="shared" ref="L25:L30" si="2">K25*G25</f>
        <v>34</v>
      </c>
    </row>
    <row r="26" spans="2:15" ht="20.149999999999999" customHeight="1" x14ac:dyDescent="0.45">
      <c r="B26" s="58">
        <v>520698</v>
      </c>
      <c r="C26" s="212" t="str">
        <f>VLOOKUP(B26,'Sales Master'!A$3:B$530,2,0)</f>
        <v>P3013A</v>
      </c>
      <c r="D26" s="461" t="str">
        <f>VLOOKUP(C26,'Sales Master'!B$3:D$530,2,)</f>
        <v>Black Glutinous Rice 黑糯米</v>
      </c>
      <c r="E26" s="461"/>
      <c r="F26" s="461"/>
      <c r="G26" s="76">
        <v>1</v>
      </c>
      <c r="H26" s="183" t="str">
        <f>VLOOKUP(C26,'Sales Master'!$B$3:$F$2413,5,0)</f>
        <v>5 KGS</v>
      </c>
      <c r="I26" s="462" t="str">
        <f>VLOOKUP(C26,'Sales Master'!$B$3:$E$2413,4,0)</f>
        <v>-</v>
      </c>
      <c r="J26" s="462"/>
      <c r="K26" s="83">
        <f>VLOOKUP(C26,'Sales Master'!B$3:I$530,8,0)</f>
        <v>18</v>
      </c>
      <c r="L26" s="84">
        <f t="shared" si="2"/>
        <v>18</v>
      </c>
    </row>
    <row r="27" spans="2:15" ht="20.149999999999999" customHeight="1" x14ac:dyDescent="0.45">
      <c r="B27" s="58">
        <v>520696</v>
      </c>
      <c r="C27" s="212" t="str">
        <f>VLOOKUP(B27,'Sales Master'!A$3:B$530,2,0)</f>
        <v>P3016A</v>
      </c>
      <c r="D27" s="461" t="str">
        <f>VLOOKUP(C27,'Sales Master'!B$3:D$530,2,)</f>
        <v>Pearl Barley 薏米</v>
      </c>
      <c r="E27" s="461"/>
      <c r="F27" s="461"/>
      <c r="G27" s="76">
        <v>2</v>
      </c>
      <c r="H27" s="183" t="str">
        <f>VLOOKUP(C27,'Sales Master'!$B$3:$F$2413,5,0)</f>
        <v>5 KG</v>
      </c>
      <c r="I27" s="462" t="str">
        <f>VLOOKUP(C27,'Sales Master'!$B$3:$E$2413,4,0)</f>
        <v>-</v>
      </c>
      <c r="J27" s="462"/>
      <c r="K27" s="83">
        <f>VLOOKUP(C27,'Sales Master'!B$3:I$530,8,0)</f>
        <v>10</v>
      </c>
      <c r="L27" s="84">
        <f t="shared" si="2"/>
        <v>20</v>
      </c>
    </row>
    <row r="28" spans="2:15" ht="20.149999999999999" customHeight="1" x14ac:dyDescent="0.45">
      <c r="B28" s="58">
        <v>520744</v>
      </c>
      <c r="C28" s="212" t="str">
        <f>VLOOKUP(B28,'Sales Master'!A$3:B$530,2,0)</f>
        <v>P3018A</v>
      </c>
      <c r="D28" s="461" t="str">
        <f>VLOOKUP(C28,'Sales Master'!B$3:D$530,2,)</f>
        <v>Small Sago 小丸</v>
      </c>
      <c r="E28" s="461"/>
      <c r="F28" s="461"/>
      <c r="G28" s="76">
        <v>1</v>
      </c>
      <c r="H28" s="183" t="str">
        <f>VLOOKUP(C28,'Sales Master'!$B$3:$F$2413,5,0)</f>
        <v>5 KG</v>
      </c>
      <c r="I28" s="462" t="str">
        <f>VLOOKUP(C28,'Sales Master'!$B$3:$E$2413,4,0)</f>
        <v>-</v>
      </c>
      <c r="J28" s="462"/>
      <c r="K28" s="83">
        <f>VLOOKUP(C28,'Sales Master'!B$3:I$530,8,0)</f>
        <v>10</v>
      </c>
      <c r="L28" s="84">
        <f t="shared" si="2"/>
        <v>10</v>
      </c>
    </row>
    <row r="29" spans="2:15" ht="20.149999999999999" customHeight="1" x14ac:dyDescent="0.45">
      <c r="B29" s="58">
        <v>520716</v>
      </c>
      <c r="C29" s="212" t="str">
        <f>VLOOKUP(B29,'Sales Master'!A$3:B$530,2,0)</f>
        <v>P3039</v>
      </c>
      <c r="D29" s="461" t="str">
        <f>VLOOKUP(C29,'Sales Master'!B$3:D$530,2,)</f>
        <v>Fine Salt  幼盐</v>
      </c>
      <c r="E29" s="461"/>
      <c r="F29" s="461"/>
      <c r="G29" s="76">
        <v>1</v>
      </c>
      <c r="H29" s="183" t="str">
        <f>VLOOKUP(C29,'Sales Master'!$B$3:$F$2413,5,0)</f>
        <v>500 gms</v>
      </c>
      <c r="I29" s="462" t="str">
        <f>VLOOKUP(C29,'Sales Master'!$B$3:$E$2413,4,0)</f>
        <v>FLYING MAN</v>
      </c>
      <c r="J29" s="462"/>
      <c r="K29" s="83">
        <f>VLOOKUP(C29,'Sales Master'!B$3:I$530,8,0)</f>
        <v>0.8</v>
      </c>
      <c r="L29" s="84">
        <f t="shared" si="2"/>
        <v>0.8</v>
      </c>
    </row>
    <row r="30" spans="2:15" ht="20.149999999999999" customHeight="1" x14ac:dyDescent="0.45">
      <c r="B30" s="58">
        <v>520700</v>
      </c>
      <c r="C30" s="212" t="str">
        <f>VLOOKUP(B30,'Sales Master'!A$3:B$530,2,0)</f>
        <v>P5002A</v>
      </c>
      <c r="D30" s="461" t="str">
        <f>VLOOKUP(C30,'Sales Master'!B$3:D$530,2,)</f>
        <v>Brown Sugar 黑糖</v>
      </c>
      <c r="E30" s="461"/>
      <c r="F30" s="461"/>
      <c r="G30" s="76">
        <v>2</v>
      </c>
      <c r="H30" s="183" t="str">
        <f>VLOOKUP(C30,'Sales Master'!$B$3:$F$2413,5,0)</f>
        <v>6 KG</v>
      </c>
      <c r="I30" s="462" t="str">
        <f>VLOOKUP(C30,'Sales Master'!$B$3:$E$2413,4,0)</f>
        <v>Star</v>
      </c>
      <c r="J30" s="462"/>
      <c r="K30" s="83">
        <f>VLOOKUP(C30,'Sales Master'!B$3:I$530,8,0)</f>
        <v>15.5</v>
      </c>
      <c r="L30" s="84">
        <f t="shared" si="2"/>
        <v>31</v>
      </c>
    </row>
    <row r="31" spans="2:15" ht="20.149999999999999" customHeight="1" x14ac:dyDescent="0.45">
      <c r="B31" s="58">
        <v>520706</v>
      </c>
      <c r="C31" s="212" t="str">
        <f>VLOOKUP(B31,'Sales Master'!A$3:B$530,2,0)</f>
        <v>P5008</v>
      </c>
      <c r="D31" s="461" t="str">
        <f>VLOOKUP(C31,'Sales Master'!B$3:D$530,2,)</f>
        <v>Coconut Sugar 椰糖</v>
      </c>
      <c r="E31" s="461"/>
      <c r="F31" s="461"/>
      <c r="G31" s="76">
        <v>1</v>
      </c>
      <c r="H31" s="183" t="str">
        <f>VLOOKUP(C31,'Sales Master'!$B$3:$F$2413,5,0)</f>
        <v>10 KG/ ctn</v>
      </c>
      <c r="I31" s="462" t="str">
        <f>VLOOKUP(C31,'Sales Master'!$B$3:$E$2413,4,0)</f>
        <v>BL BRAND</v>
      </c>
      <c r="J31" s="462"/>
      <c r="K31" s="83">
        <f>VLOOKUP(C31,'Sales Master'!B$3:I$530,8,0)</f>
        <v>35</v>
      </c>
      <c r="L31" s="84">
        <f t="shared" ref="L31:L33" si="3">K31*G31</f>
        <v>35</v>
      </c>
    </row>
    <row r="32" spans="2:15" ht="20.149999999999999" customHeight="1" x14ac:dyDescent="0.45">
      <c r="B32" s="58">
        <v>520701</v>
      </c>
      <c r="C32" s="212" t="str">
        <f>VLOOKUP(B32,'Sales Master'!A$3:B$530,2,0)</f>
        <v>P6013</v>
      </c>
      <c r="D32" s="461" t="str">
        <f>VLOOKUP(C32,'Sales Master'!B$3:D$530,2,)</f>
        <v>Butterfly Peas 兰花</v>
      </c>
      <c r="E32" s="461"/>
      <c r="F32" s="461"/>
      <c r="G32" s="76">
        <v>1</v>
      </c>
      <c r="H32" s="183" t="str">
        <f>VLOOKUP(C32,'Sales Master'!$B$3:$F$2413,5,0)</f>
        <v>50 GM</v>
      </c>
      <c r="I32" s="462" t="str">
        <f>VLOOKUP(C32,'Sales Master'!$B$3:$E$2413,4,0)</f>
        <v>-</v>
      </c>
      <c r="J32" s="462"/>
      <c r="K32" s="83">
        <f>VLOOKUP(C32,'Sales Master'!B$3:I$530,8,0)</f>
        <v>15</v>
      </c>
      <c r="L32" s="84">
        <f t="shared" ref="L32" si="4">K32*G32</f>
        <v>15</v>
      </c>
    </row>
    <row r="33" spans="2:13" ht="20.149999999999999" customHeight="1" x14ac:dyDescent="0.45">
      <c r="B33" s="58">
        <v>520792</v>
      </c>
      <c r="C33" s="212" t="str">
        <f>VLOOKUP(B33,'Sales Master'!A$3:B$530,2,0)</f>
        <v>P6014</v>
      </c>
      <c r="D33" s="461" t="str">
        <f>VLOOKUP(C33,'Sales Master'!B$3:D$530,2,)</f>
        <v>Yu Tiao 油条</v>
      </c>
      <c r="E33" s="461"/>
      <c r="F33" s="461"/>
      <c r="G33" s="76">
        <v>2</v>
      </c>
      <c r="H33" s="183" t="str">
        <f>VLOOKUP(C33,'Sales Master'!$B$3:$F$2413,5,0)</f>
        <v>10 PCS/PKT</v>
      </c>
      <c r="I33" s="462" t="str">
        <f>VLOOKUP(C33,'Sales Master'!$B$3:$E$2413,4,0)</f>
        <v>-</v>
      </c>
      <c r="J33" s="462"/>
      <c r="K33" s="83">
        <f>VLOOKUP(C33,'Sales Master'!B$3:I$530,8,0)</f>
        <v>5.5</v>
      </c>
      <c r="L33" s="84">
        <f t="shared" si="3"/>
        <v>11</v>
      </c>
    </row>
    <row r="34" spans="2:13" ht="20.149999999999999" customHeight="1" x14ac:dyDescent="0.45">
      <c r="B34" s="29"/>
      <c r="C34" s="212"/>
      <c r="G34" s="76"/>
      <c r="H34" s="183"/>
      <c r="I34" s="209"/>
      <c r="J34" s="209"/>
      <c r="K34" s="83"/>
      <c r="L34" s="84"/>
    </row>
    <row r="35" spans="2:13" ht="20.149999999999999" customHeight="1" x14ac:dyDescent="0.45">
      <c r="B35" s="29"/>
      <c r="C35" s="212"/>
      <c r="G35" s="76"/>
      <c r="H35" s="183"/>
      <c r="I35" s="209"/>
      <c r="J35" s="209"/>
      <c r="K35" s="83"/>
      <c r="L35" s="84"/>
    </row>
    <row r="36" spans="2:13" ht="20.149999999999999" customHeight="1" x14ac:dyDescent="0.45">
      <c r="B36" s="104"/>
      <c r="C36" s="105"/>
      <c r="D36" s="454"/>
      <c r="E36" s="454"/>
      <c r="F36" s="454"/>
      <c r="G36" s="105"/>
      <c r="H36" s="105"/>
      <c r="I36" s="124"/>
      <c r="J36" s="124"/>
      <c r="K36" s="108"/>
      <c r="L36" s="125"/>
    </row>
    <row r="37" spans="2:13" ht="20.149999999999999" customHeight="1" thickBot="1" x14ac:dyDescent="0.5">
      <c r="B37" s="36"/>
      <c r="L37" s="37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55" t="s">
        <v>13</v>
      </c>
      <c r="K38" s="456"/>
      <c r="L38" s="38">
        <f>SUM(L18:L37)</f>
        <v>390.3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57" t="s">
        <v>19</v>
      </c>
      <c r="K40" s="458"/>
      <c r="L40" s="41">
        <f>L38-L39</f>
        <v>390.3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35.127000000000002</v>
      </c>
    </row>
    <row r="42" spans="2:13" ht="20.149999999999999" customHeight="1" thickBot="1" x14ac:dyDescent="0.5">
      <c r="B42" s="10" t="s">
        <v>700</v>
      </c>
      <c r="C42" s="6"/>
      <c r="D42" s="6"/>
      <c r="E42" s="6"/>
      <c r="F42" s="6"/>
      <c r="G42" s="6"/>
      <c r="H42" s="6"/>
      <c r="I42" s="6"/>
      <c r="J42" s="459" t="s">
        <v>21</v>
      </c>
      <c r="K42" s="460"/>
      <c r="L42" s="43">
        <f>L40+L41</f>
        <v>425.42700000000002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690</v>
      </c>
      <c r="L44" s="37"/>
    </row>
    <row r="45" spans="2:13" ht="20.149999999999999" customHeight="1" x14ac:dyDescent="0.45">
      <c r="B45" s="144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J42:K42"/>
    <mergeCell ref="J38:K38"/>
    <mergeCell ref="J40:K40"/>
    <mergeCell ref="D28:F28"/>
    <mergeCell ref="D33:F33"/>
    <mergeCell ref="I33:J33"/>
    <mergeCell ref="D36:F36"/>
    <mergeCell ref="I28:J28"/>
    <mergeCell ref="I31:J31"/>
    <mergeCell ref="I30:J30"/>
    <mergeCell ref="I29:J29"/>
    <mergeCell ref="D29:F29"/>
    <mergeCell ref="K15:L15"/>
    <mergeCell ref="I20:J20"/>
    <mergeCell ref="I17:J17"/>
    <mergeCell ref="I25:J25"/>
    <mergeCell ref="D27:F27"/>
    <mergeCell ref="D20:F20"/>
    <mergeCell ref="I27:J27"/>
    <mergeCell ref="D23:F23"/>
    <mergeCell ref="D25:F25"/>
    <mergeCell ref="I23:J23"/>
    <mergeCell ref="D31:F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17:F17"/>
    <mergeCell ref="I18:J18"/>
    <mergeCell ref="D32:F32"/>
    <mergeCell ref="I32:J32"/>
    <mergeCell ref="D30:F30"/>
    <mergeCell ref="I22:J22"/>
    <mergeCell ref="I19:J19"/>
    <mergeCell ref="D26:F26"/>
    <mergeCell ref="I26:J26"/>
    <mergeCell ref="D22:F22"/>
    <mergeCell ref="D19:F19"/>
    <mergeCell ref="I21:J21"/>
    <mergeCell ref="D24:F24"/>
    <mergeCell ref="I24:J24"/>
    <mergeCell ref="D21:F21"/>
  </mergeCells>
  <pageMargins left="0.74803149606299202" right="0" top="0" bottom="0.23622047244094499" header="0.31496062992126" footer="0.31496062992126"/>
  <pageSetup paperSize="9" scale="76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6" zoomScaleNormal="100" workbookViewId="0">
      <selection activeCell="L19" sqref="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1488</v>
      </c>
      <c r="J10" s="24" t="s">
        <v>27</v>
      </c>
      <c r="K10" s="493">
        <v>202412697</v>
      </c>
      <c r="L10" s="494"/>
    </row>
    <row r="11" spans="2:12" ht="20.149999999999999" customHeight="1" x14ac:dyDescent="0.45">
      <c r="B11" s="477" t="s">
        <v>1490</v>
      </c>
      <c r="C11" s="478"/>
      <c r="D11" s="479"/>
      <c r="E11" s="25"/>
      <c r="F11" s="480" t="str">
        <f>VLOOKUP(H10,'Delivery Location'!A$4:N$460,2,0)</f>
        <v>Robo-T Cafe                                                  369 Sembawang #01-03             Singapore 758382</v>
      </c>
      <c r="G11" s="481"/>
      <c r="H11" s="482"/>
      <c r="J11" s="26" t="s">
        <v>9</v>
      </c>
      <c r="K11" s="495">
        <v>45657</v>
      </c>
      <c r="L11" s="496"/>
    </row>
    <row r="12" spans="2:12" ht="20.149999999999999" customHeight="1" x14ac:dyDescent="0.45">
      <c r="B12" s="488" t="s">
        <v>1491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1492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1493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9"/>
      <c r="C18" s="17"/>
      <c r="D18" s="461" t="s">
        <v>2312</v>
      </c>
      <c r="E18" s="461"/>
      <c r="F18" s="461"/>
      <c r="G18" s="17"/>
      <c r="H18" s="186"/>
      <c r="I18" s="520"/>
      <c r="J18" s="520"/>
      <c r="K18" s="80"/>
      <c r="L18" s="64">
        <v>340.2</v>
      </c>
      <c r="M18" s="65"/>
      <c r="N18" s="145"/>
      <c r="O18" s="145"/>
      <c r="P18" s="145"/>
      <c r="R18" s="63">
        <f>G18*N18*0.07</f>
        <v>0</v>
      </c>
    </row>
    <row r="19" spans="2:18" ht="20.149999999999999" customHeight="1" x14ac:dyDescent="0.45">
      <c r="B19" s="29"/>
      <c r="C19" s="17"/>
      <c r="D19" s="461"/>
      <c r="E19" s="461"/>
      <c r="F19" s="461"/>
      <c r="G19" s="17"/>
      <c r="H19" s="186"/>
      <c r="I19" s="497"/>
      <c r="J19" s="497"/>
      <c r="K19" s="80"/>
      <c r="L19" s="64"/>
      <c r="M19" s="65"/>
      <c r="N19" s="145"/>
      <c r="O19" s="145"/>
      <c r="P19" s="145"/>
      <c r="R19" s="63"/>
    </row>
    <row r="20" spans="2:18" ht="20.149999999999999" customHeight="1" x14ac:dyDescent="0.45">
      <c r="B20" s="29"/>
      <c r="C20" s="17"/>
      <c r="D20" s="461"/>
      <c r="E20" s="461"/>
      <c r="F20" s="461"/>
      <c r="G20" s="17"/>
      <c r="H20" s="186"/>
      <c r="I20" s="497"/>
      <c r="J20" s="497"/>
      <c r="K20" s="80"/>
      <c r="L20" s="64"/>
      <c r="M20" s="65"/>
      <c r="N20" s="145"/>
      <c r="O20" s="145"/>
      <c r="P20" s="145"/>
    </row>
    <row r="21" spans="2:18" ht="20.149999999999999" customHeight="1" x14ac:dyDescent="0.45">
      <c r="B21" s="29"/>
      <c r="C21" s="17"/>
      <c r="D21" s="461"/>
      <c r="E21" s="461"/>
      <c r="F21" s="461"/>
      <c r="G21" s="17"/>
      <c r="H21" s="186"/>
      <c r="I21" s="497"/>
      <c r="J21" s="497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80"/>
      <c r="L23" s="64"/>
      <c r="M23" s="65"/>
    </row>
    <row r="24" spans="2:18" ht="20.149999999999999" customHeight="1" x14ac:dyDescent="0.45">
      <c r="B24" s="29"/>
      <c r="G24" s="17"/>
      <c r="H24" s="186"/>
      <c r="I24" s="208"/>
      <c r="J24" s="208"/>
      <c r="K24" s="80"/>
      <c r="L24" s="64"/>
      <c r="M24" s="65"/>
    </row>
    <row r="25" spans="2:18" ht="20.149999999999999" customHeight="1" x14ac:dyDescent="0.45">
      <c r="B25" s="29"/>
      <c r="C25" s="153"/>
      <c r="G25" s="193"/>
      <c r="H25" s="56"/>
      <c r="I25" s="208"/>
      <c r="J25" s="208"/>
      <c r="K25" s="190"/>
      <c r="L25" s="64"/>
      <c r="M25" s="65"/>
    </row>
    <row r="26" spans="2:18" ht="20.149999999999999" customHeight="1" x14ac:dyDescent="0.45">
      <c r="B26" s="29"/>
      <c r="C26" s="17"/>
      <c r="D26" s="461"/>
      <c r="E26" s="461"/>
      <c r="F26" s="461"/>
      <c r="G26" s="76"/>
      <c r="H26" s="186"/>
      <c r="I26" s="516"/>
      <c r="J26" s="516"/>
      <c r="K26" s="80"/>
      <c r="L26" s="64"/>
      <c r="M26" s="65"/>
    </row>
    <row r="27" spans="2:18" ht="20.149999999999999" customHeight="1" x14ac:dyDescent="0.45">
      <c r="B27" s="29"/>
      <c r="C27" s="17"/>
      <c r="G27" s="17"/>
      <c r="H27" s="186"/>
      <c r="I27" s="186"/>
      <c r="J27" s="186"/>
      <c r="K27" s="80"/>
      <c r="L27" s="64"/>
      <c r="M27" s="65"/>
    </row>
    <row r="28" spans="2:18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SUM(L17:L27)</f>
        <v>340.2</v>
      </c>
      <c r="M30" s="63"/>
      <c r="N30" s="133"/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340.2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30.617999999999999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370.81799999999998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G36" s="19" t="s">
        <v>460</v>
      </c>
      <c r="H36" s="17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J34:K34"/>
    <mergeCell ref="I20:J20"/>
    <mergeCell ref="I21:J21"/>
    <mergeCell ref="D28:F28"/>
    <mergeCell ref="I28:J28"/>
    <mergeCell ref="J30:K30"/>
    <mergeCell ref="D26:F26"/>
    <mergeCell ref="I26:J26"/>
  </mergeCells>
  <conditionalFormatting sqref="C25">
    <cfRule type="duplicateValues" dxfId="22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A7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1558</v>
      </c>
      <c r="J10" s="24" t="s">
        <v>27</v>
      </c>
      <c r="K10" s="493">
        <v>202308540</v>
      </c>
      <c r="L10" s="494"/>
    </row>
    <row r="11" spans="2:14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>Super Tea (S) Pte Ltd (HQ)                                                  1 Woodlands Height, #07-01,      Singapore 737859</v>
      </c>
      <c r="G11" s="481"/>
      <c r="H11" s="482"/>
      <c r="J11" s="26" t="s">
        <v>9</v>
      </c>
      <c r="K11" s="495">
        <v>45160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725</v>
      </c>
      <c r="D18" s="525" t="str">
        <f>VLOOKUP(C18,'Sales Master'!B$3:D$530,2,)</f>
        <v>Fresh Soursop Seedless 红毛榴莲(无)</v>
      </c>
      <c r="E18" s="525"/>
      <c r="F18" s="525"/>
      <c r="G18" s="76">
        <v>2</v>
      </c>
      <c r="H18" s="186" t="str">
        <f>VLOOKUP(C18,'Sales Master'!$B$3:$F$2481,5,0)</f>
        <v>GW:1 KG/ Box盒</v>
      </c>
      <c r="I18" s="497" t="str">
        <f>VLOOKUP(C18,'Sales Master'!$B$3:$E$2481,4,0)</f>
        <v>DO!</v>
      </c>
      <c r="J18" s="497"/>
      <c r="K18" s="30">
        <f>VLOOKUP(C18,'Sales Master'!B$3:AD$530,29,0)</f>
        <v>0</v>
      </c>
      <c r="L18" s="64">
        <f>K18*G18</f>
        <v>0</v>
      </c>
      <c r="M18" s="65"/>
      <c r="N18" s="145">
        <f>VLOOKUP(C18,'Sales Master'!$B$3:$DA$2272,104,0)</f>
        <v>5.13</v>
      </c>
      <c r="O18" s="145">
        <f>K18-N18</f>
        <v>-5.13</v>
      </c>
      <c r="P18" s="145">
        <f>O18*G18</f>
        <v>-10.26</v>
      </c>
    </row>
    <row r="19" spans="2:19" ht="20.149999999999999" customHeight="1" x14ac:dyDescent="0.45">
      <c r="B19" s="29"/>
      <c r="C19" s="212" t="s">
        <v>1742</v>
      </c>
      <c r="D19" s="461" t="str">
        <f>VLOOKUP(C19,'Sales Master'!B$3:D$530,2,)</f>
        <v>Fresh Pineapple Puree 凤梨果酱</v>
      </c>
      <c r="E19" s="461"/>
      <c r="F19" s="461"/>
      <c r="G19" s="76">
        <v>1</v>
      </c>
      <c r="H19" s="186" t="str">
        <f>VLOOKUP(C19,'Sales Master'!$B$3:$F$2481,5,0)</f>
        <v>800 GM</v>
      </c>
      <c r="I19" s="497" t="str">
        <f>VLOOKUP(C19,'Sales Master'!$B$3:$E$2481,4,0)</f>
        <v>DO!</v>
      </c>
      <c r="J19" s="497"/>
      <c r="K19" s="521" t="s">
        <v>1111</v>
      </c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 t="s">
        <v>1761</v>
      </c>
      <c r="E20" s="461"/>
      <c r="F20" s="461"/>
      <c r="G20" s="76">
        <v>1</v>
      </c>
      <c r="H20" s="186" t="s">
        <v>1762</v>
      </c>
      <c r="I20" s="497" t="s">
        <v>34</v>
      </c>
      <c r="J20" s="497"/>
      <c r="K20" s="521" t="s">
        <v>1111</v>
      </c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0</v>
      </c>
      <c r="M30" s="63">
        <f>SUM(P18:P28)</f>
        <v>-10.26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J32:K32"/>
    <mergeCell ref="J34:K34"/>
    <mergeCell ref="D25:F25"/>
    <mergeCell ref="I25:J25"/>
    <mergeCell ref="D26:F26"/>
    <mergeCell ref="I26:J26"/>
    <mergeCell ref="D28:F28"/>
    <mergeCell ref="I28:J28"/>
    <mergeCell ref="D23:F23"/>
    <mergeCell ref="I23:J23"/>
    <mergeCell ref="D24:F24"/>
    <mergeCell ref="I24:J24"/>
    <mergeCell ref="J30:K30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823F-CDE8-4F20-BB5F-5FE7E506E912}">
  <sheetPr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1883</v>
      </c>
      <c r="J10" s="24" t="s">
        <v>27</v>
      </c>
      <c r="K10" s="493">
        <v>202412257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Dim Sum                                             Blk 57 Dawson Road, #02-09/10 Dawson Place, Singapore 142057</v>
      </c>
      <c r="G11" s="481"/>
      <c r="H11" s="482"/>
      <c r="J11" s="26" t="s">
        <v>9</v>
      </c>
      <c r="K11" s="495">
        <v>45638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3" ht="20.149999999999999" customHeight="1" x14ac:dyDescent="0.45">
      <c r="B18" s="29"/>
      <c r="C18" s="212" t="s">
        <v>820</v>
      </c>
      <c r="D18" s="461" t="str">
        <f>VLOOKUP(C18,'Sales Master'!B$3:D$530,2,)</f>
        <v>Rice Flour 粘米粉</v>
      </c>
      <c r="E18" s="461"/>
      <c r="F18" s="461"/>
      <c r="G18" s="17">
        <v>1</v>
      </c>
      <c r="H18" s="186" t="str">
        <f>VLOOKUP(C18,'Sales Master'!$B$3:$F$2481,5,0)</f>
        <v>(600 GM x 20)/ Ctn箱</v>
      </c>
      <c r="I18" s="497" t="str">
        <f>VLOOKUP(C18,'Sales Master'!$B$3:$E$2481,4,0)</f>
        <v>ERAWAN</v>
      </c>
      <c r="J18" s="497"/>
      <c r="K18" s="30">
        <f>VLOOKUP(C18,'Sales Master'!B$3:J$530,9,0)</f>
        <v>22.5</v>
      </c>
      <c r="L18" s="64">
        <f>K18*G18</f>
        <v>22.5</v>
      </c>
      <c r="M18" s="65"/>
      <c r="N18" s="145">
        <f>VLOOKUP(C18,'Sales Master'!$B$3:$DA$2272,104,0)</f>
        <v>18.600000000000001</v>
      </c>
      <c r="O18" s="145">
        <f>K18-N18</f>
        <v>3.8999999999999986</v>
      </c>
      <c r="P18" s="145">
        <f>O18*G18</f>
        <v>3.8999999999999986</v>
      </c>
    </row>
    <row r="19" spans="2:23" ht="20.149999999999999" customHeight="1" x14ac:dyDescent="0.45">
      <c r="B19" s="29"/>
      <c r="C19" s="212" t="s">
        <v>877</v>
      </c>
      <c r="D19" s="461" t="str">
        <f>VLOOKUP(C19,'Sales Master'!B$3:D$530,2,)</f>
        <v>Small Sago 小丸</v>
      </c>
      <c r="E19" s="461"/>
      <c r="F19" s="461"/>
      <c r="G19" s="17">
        <v>1</v>
      </c>
      <c r="H19" s="186" t="str">
        <f>VLOOKUP(C19,'Sales Master'!$B$3:$F$2481,5,0)</f>
        <v>5 KG</v>
      </c>
      <c r="I19" s="497" t="str">
        <f>VLOOKUP(C19,'Sales Master'!$B$3:$E$2481,4,0)</f>
        <v>-</v>
      </c>
      <c r="J19" s="497"/>
      <c r="K19" s="30">
        <f>VLOOKUP(C19,'Sales Master'!B$3:J$530,9,0)</f>
        <v>10</v>
      </c>
      <c r="L19" s="64">
        <f>K19*G19</f>
        <v>10</v>
      </c>
      <c r="M19" s="65"/>
      <c r="N19" s="145">
        <f>VLOOKUP(C19,'Sales Master'!$B$3:$DA$2272,104,0)</f>
        <v>0.70833333333333326</v>
      </c>
      <c r="O19" s="145">
        <f>K19-N19</f>
        <v>9.2916666666666661</v>
      </c>
      <c r="P19" s="145">
        <f>O19*G19</f>
        <v>9.2916666666666661</v>
      </c>
      <c r="R19" s="19">
        <v>2</v>
      </c>
      <c r="S19" s="19" t="s">
        <v>54</v>
      </c>
      <c r="T19" s="19" t="s">
        <v>347</v>
      </c>
      <c r="V19" s="19">
        <v>9</v>
      </c>
      <c r="W19" s="19">
        <v>18</v>
      </c>
    </row>
    <row r="20" spans="2:23" ht="20.149999999999999" customHeight="1" x14ac:dyDescent="0.45">
      <c r="B20" s="29"/>
      <c r="C20" s="212" t="s">
        <v>961</v>
      </c>
      <c r="D20" s="461" t="str">
        <f>VLOOKUP(C20,'Sales Master'!B$3:D$530,2,)</f>
        <v>Lychee in Syrup 荔枝</v>
      </c>
      <c r="E20" s="461"/>
      <c r="F20" s="461"/>
      <c r="G20" s="17">
        <v>1</v>
      </c>
      <c r="H20" s="186" t="str">
        <f>VLOOKUP(C20,'Sales Master'!$B$3:$F$2481,5,0)</f>
        <v>12 CAN/CARTON</v>
      </c>
      <c r="I20" s="497" t="str">
        <f>VLOOKUP(C20,'Sales Master'!$B$3:$E$2481,4,0)</f>
        <v>Statue</v>
      </c>
      <c r="J20" s="497"/>
      <c r="K20" s="30">
        <f>VLOOKUP(C20,'Sales Master'!B$3:J$530,9,0)</f>
        <v>22</v>
      </c>
      <c r="L20" s="64">
        <f>K20*G20</f>
        <v>22</v>
      </c>
      <c r="M20" s="65"/>
      <c r="N20" s="145">
        <f>VLOOKUP(C20,'Sales Master'!$B$3:$DA$2272,104,0)</f>
        <v>16.5</v>
      </c>
      <c r="O20" s="145">
        <f>K20-N20</f>
        <v>5.5</v>
      </c>
      <c r="P20" s="145">
        <f>O20*G20</f>
        <v>5.5</v>
      </c>
      <c r="R20" s="19">
        <v>1</v>
      </c>
      <c r="S20" s="19" t="s">
        <v>386</v>
      </c>
      <c r="T20" s="19" t="s">
        <v>450</v>
      </c>
      <c r="V20" s="19">
        <v>32</v>
      </c>
      <c r="W20" s="19">
        <v>32</v>
      </c>
    </row>
    <row r="21" spans="2:23" ht="20.149999999999999" customHeight="1" x14ac:dyDescent="0.45">
      <c r="B21" s="29"/>
      <c r="C21" s="212" t="s">
        <v>1033</v>
      </c>
      <c r="D21" s="461" t="str">
        <f>VLOOKUP(C21,'Sales Master'!B$3:D$530,2,)</f>
        <v>Pandan Leaf 班兰叶</v>
      </c>
      <c r="E21" s="461"/>
      <c r="F21" s="461"/>
      <c r="G21" s="17">
        <v>1</v>
      </c>
      <c r="H21" s="186" t="str">
        <f>VLOOKUP(C21,'Sales Master'!$B$3:$F$2481,5,0)</f>
        <v>1 KG</v>
      </c>
      <c r="I21" s="497" t="str">
        <f>VLOOKUP(C21,'Sales Master'!$B$3:$E$2481,4,0)</f>
        <v>-</v>
      </c>
      <c r="J21" s="497"/>
      <c r="K21" s="30">
        <f>VLOOKUP(C21,'Sales Master'!B$3:J$530,9,0)</f>
        <v>1.8</v>
      </c>
      <c r="L21" s="64">
        <f>K21*G21</f>
        <v>1.8</v>
      </c>
      <c r="M21" s="65"/>
      <c r="N21" s="145">
        <f>VLOOKUP(C21,'Sales Master'!$B$3:$DA$2272,104,0)</f>
        <v>1.1000000000000001</v>
      </c>
      <c r="O21" s="145">
        <f>K21-N21</f>
        <v>0.7</v>
      </c>
      <c r="P21" s="145">
        <f>O21*G21</f>
        <v>0.7</v>
      </c>
      <c r="R21" s="19">
        <v>1</v>
      </c>
      <c r="S21" s="19" t="s">
        <v>386</v>
      </c>
      <c r="T21" s="19" t="s">
        <v>452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93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62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23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56.3</v>
      </c>
      <c r="M31" s="63">
        <f>SUM(P18:P29)-L31*0.02</f>
        <v>18.265666666666661</v>
      </c>
      <c r="N31" s="133">
        <f>M31/L31</f>
        <v>0.32443457667258724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56.3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5.0669999999999993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61.366999999999997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D51F-D0F0-4075-95F8-C08EAECBF6D1}">
  <sheetPr>
    <tabColor rgb="FFFFC000"/>
    <pageSetUpPr fitToPage="1"/>
  </sheetPr>
  <dimension ref="B1:W43"/>
  <sheetViews>
    <sheetView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1884</v>
      </c>
      <c r="J10" s="24" t="s">
        <v>27</v>
      </c>
      <c r="K10" s="493">
        <v>202402174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    Blk 57 Dawson Road, #02-09/10 Dawson Place, Singapore 142057</v>
      </c>
      <c r="G11" s="481"/>
      <c r="H11" s="482"/>
      <c r="J11" s="26" t="s">
        <v>9</v>
      </c>
      <c r="K11" s="495">
        <v>45328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3" ht="20.149999999999999" customHeight="1" x14ac:dyDescent="0.45">
      <c r="B18" s="29"/>
      <c r="C18" s="212" t="s">
        <v>955</v>
      </c>
      <c r="D18" s="461" t="str">
        <f>VLOOKUP(C18,'Sales Master'!B$3:D$530,2,)</f>
        <v>Longan in Syrup 龙眼</v>
      </c>
      <c r="E18" s="461"/>
      <c r="F18" s="461"/>
      <c r="G18" s="17">
        <v>1</v>
      </c>
      <c r="H18" s="186" t="str">
        <f>VLOOKUP(C18,'Sales Master'!$B$3:$F$2481,5,0)</f>
        <v>(565gm x 12)/ Ctn箱</v>
      </c>
      <c r="I18" s="497" t="str">
        <f>VLOOKUP(C18,'Sales Master'!$B$3:$E$2481,4,0)</f>
        <v>Royal Orchid</v>
      </c>
      <c r="J18" s="497"/>
      <c r="K18" s="30">
        <f>VLOOKUP(C18,'Sales Master'!B$3:J$530,9,0)</f>
        <v>0</v>
      </c>
      <c r="L18" s="64">
        <f>K18*G18</f>
        <v>0</v>
      </c>
      <c r="M18" s="65"/>
      <c r="N18" s="145">
        <f>VLOOKUP(C18,'Sales Master'!$B$3:$DA$2272,104,0)</f>
        <v>18</v>
      </c>
      <c r="O18" s="145">
        <f>K18-N18</f>
        <v>-18</v>
      </c>
      <c r="P18" s="145">
        <f>O18*G18</f>
        <v>-18</v>
      </c>
    </row>
    <row r="19" spans="2:23" ht="20.149999999999999" customHeight="1" x14ac:dyDescent="0.45">
      <c r="B19" s="29"/>
      <c r="C19" s="212" t="s">
        <v>961</v>
      </c>
      <c r="D19" s="461" t="str">
        <f>VLOOKUP(C19,'Sales Master'!B$3:D$530,2,)</f>
        <v>Lychee in Syrup 荔枝</v>
      </c>
      <c r="E19" s="461"/>
      <c r="F19" s="461"/>
      <c r="G19" s="17">
        <v>1</v>
      </c>
      <c r="H19" s="186" t="str">
        <f>VLOOKUP(C19,'Sales Master'!$B$3:$F$2481,5,0)</f>
        <v>12 CAN/CARTON</v>
      </c>
      <c r="I19" s="497" t="str">
        <f>VLOOKUP(C19,'Sales Master'!$B$3:$E$2481,4,0)</f>
        <v>Statue</v>
      </c>
      <c r="J19" s="497"/>
      <c r="K19" s="30">
        <f>VLOOKUP(C19,'Sales Master'!B$3:J$530,9,0)</f>
        <v>22</v>
      </c>
      <c r="L19" s="64">
        <f>K19*G19</f>
        <v>22</v>
      </c>
      <c r="M19" s="65"/>
      <c r="N19" s="145">
        <f>VLOOKUP(C19,'Sales Master'!$B$3:$DA$2272,104,0)</f>
        <v>16.5</v>
      </c>
      <c r="O19" s="145">
        <f>K19-N19</f>
        <v>5.5</v>
      </c>
      <c r="P19" s="145">
        <f>O19*G19</f>
        <v>5.5</v>
      </c>
      <c r="R19" s="19">
        <v>2</v>
      </c>
      <c r="S19" s="19" t="s">
        <v>54</v>
      </c>
      <c r="T19" s="19" t="s">
        <v>347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6"/>
      <c r="I20" s="497"/>
      <c r="J20" s="497"/>
      <c r="K20" s="30"/>
      <c r="L20" s="64"/>
      <c r="M20" s="65"/>
      <c r="N20" s="145"/>
      <c r="O20" s="145"/>
      <c r="P20" s="145"/>
      <c r="R20" s="19">
        <v>1</v>
      </c>
      <c r="S20" s="19" t="s">
        <v>386</v>
      </c>
      <c r="T20" s="19" t="s">
        <v>450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  <c r="R21" s="19">
        <v>1</v>
      </c>
      <c r="S21" s="19" t="s">
        <v>386</v>
      </c>
      <c r="T21" s="19" t="s">
        <v>452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93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62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23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22</v>
      </c>
      <c r="M31" s="63">
        <f>SUM(P18:P29)-L31*0.02</f>
        <v>-12.94</v>
      </c>
      <c r="N31" s="133">
        <f>M31/L31</f>
        <v>-0.58818181818181814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22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23.98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0DD7-8B01-40F4-BAFC-4E5293CE40AE}">
  <sheetPr>
    <tabColor rgb="FFFFC000"/>
    <pageSetUpPr fitToPage="1"/>
  </sheetPr>
  <dimension ref="B1:S42"/>
  <sheetViews>
    <sheetView topLeftCell="A9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1949</v>
      </c>
      <c r="J10" s="24" t="s">
        <v>27</v>
      </c>
      <c r="K10" s="493">
        <v>202404556</v>
      </c>
      <c r="L10" s="494"/>
    </row>
    <row r="11" spans="2:14" ht="20.149999999999999" customHeight="1" x14ac:dyDescent="0.45">
      <c r="B11" s="477" t="s">
        <v>1974</v>
      </c>
      <c r="C11" s="478"/>
      <c r="D11" s="479"/>
      <c r="E11" s="25"/>
      <c r="F11" s="480" t="str">
        <f>VLOOKUP(H10,'Delivery Location'!A$4:N$460,2,0)</f>
        <v xml:space="preserve">Elemen @ Paya Lebar Quarter                  10 Paya Lebar Road #03-13                    Paya Lebar Quarter, Singapore 409057 </v>
      </c>
      <c r="G11" s="481"/>
      <c r="H11" s="482"/>
      <c r="J11" s="26" t="s">
        <v>9</v>
      </c>
      <c r="K11" s="495">
        <v>45404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1948</v>
      </c>
      <c r="D18" s="461" t="str">
        <f>VLOOKUP(C18,'Sales Master'!B$3:D$530,2,)</f>
        <v>Lemongrass Flavour Aiyu Jelly</v>
      </c>
      <c r="E18" s="461"/>
      <c r="F18" s="461"/>
      <c r="G18" s="76">
        <v>6</v>
      </c>
      <c r="H18" s="186" t="str">
        <f>VLOOKUP(C18,'Sales Master'!$B$3:$F$2481,5,0)</f>
        <v>GW 1 KG/ BOX</v>
      </c>
      <c r="I18" s="497" t="str">
        <f>VLOOKUP(C18,'Sales Master'!$B$3:$E$2481,4,0)</f>
        <v>DO!</v>
      </c>
      <c r="J18" s="497"/>
      <c r="K18" s="30">
        <f>VLOOKUP(C18,'Sales Master'!B$3:CK$530,88,0)</f>
        <v>4.8</v>
      </c>
      <c r="L18" s="64">
        <f>K18*G18</f>
        <v>28.799999999999997</v>
      </c>
      <c r="M18" s="65"/>
      <c r="N18" s="145">
        <f>VLOOKUP(C18,'Sales Master'!$B$3:$DA$2272,104,0)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930F-98B7-4D95-B7D4-CB70C704DAB2}">
  <sheetPr>
    <tabColor rgb="FFFFC000"/>
    <pageSetUpPr fitToPage="1"/>
  </sheetPr>
  <dimension ref="B1:S42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1950</v>
      </c>
      <c r="J10" s="24" t="s">
        <v>27</v>
      </c>
      <c r="K10" s="493">
        <v>202405452</v>
      </c>
      <c r="L10" s="494"/>
    </row>
    <row r="11" spans="2:14" ht="20.149999999999999" customHeight="1" x14ac:dyDescent="0.45">
      <c r="B11" s="477" t="s">
        <v>1974</v>
      </c>
      <c r="C11" s="478"/>
      <c r="D11" s="479"/>
      <c r="E11" s="25"/>
      <c r="F11" s="480" t="str">
        <f>VLOOKUP(H10,'Delivery Location'!A$4:N$460,2,0)</f>
        <v xml:space="preserve">Elemen @ Millenia Walk                            9 Raffles Boulevard, Millenia Walk    #01-75/75A/76 Singapore 039596 </v>
      </c>
      <c r="G11" s="481"/>
      <c r="H11" s="482"/>
      <c r="J11" s="26" t="s">
        <v>9</v>
      </c>
      <c r="K11" s="495">
        <v>45432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1948</v>
      </c>
      <c r="D18" s="461" t="str">
        <f>VLOOKUP(C18,'Sales Master'!B$3:D$530,2,)</f>
        <v>Lemongrass Flavour Aiyu Jelly</v>
      </c>
      <c r="E18" s="461"/>
      <c r="F18" s="461"/>
      <c r="G18" s="76">
        <v>5</v>
      </c>
      <c r="H18" s="186" t="str">
        <f>VLOOKUP(C18,'Sales Master'!$B$3:$F$2481,5,0)</f>
        <v>GW 1 KG/ BOX</v>
      </c>
      <c r="I18" s="497" t="str">
        <f>VLOOKUP(C18,'Sales Master'!$B$3:$E$2481,4,0)</f>
        <v>DO!</v>
      </c>
      <c r="J18" s="497"/>
      <c r="K18" s="30">
        <f>VLOOKUP(C18,'Sales Master'!B$3:CK$530,88,0)</f>
        <v>4.8</v>
      </c>
      <c r="L18" s="64">
        <f>K18*G18</f>
        <v>24</v>
      </c>
      <c r="M18" s="65"/>
      <c r="N18" s="145">
        <f>VLOOKUP(C18,'Sales Master'!$B$3:$DA$2272,104,0)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CEB0-9BCB-4A09-BF09-61789FE022E2}">
  <sheetPr>
    <tabColor rgb="FFFFC000"/>
    <pageSetUpPr fitToPage="1"/>
  </sheetPr>
  <dimension ref="B1:S42"/>
  <sheetViews>
    <sheetView topLeftCell="B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1951</v>
      </c>
      <c r="J10" s="24" t="s">
        <v>27</v>
      </c>
      <c r="K10" s="493">
        <v>202404381</v>
      </c>
      <c r="L10" s="494"/>
    </row>
    <row r="11" spans="2:14" ht="20.149999999999999" customHeight="1" x14ac:dyDescent="0.45">
      <c r="B11" s="477" t="s">
        <v>1974</v>
      </c>
      <c r="C11" s="478"/>
      <c r="D11" s="479"/>
      <c r="E11" s="25"/>
      <c r="F11" s="480" t="str">
        <f>VLOOKUP(H10,'Delivery Location'!A$4:N$460,2,0)</f>
        <v xml:space="preserve">Elemen @ Great World City                         1 Kim Seng Promenade, #01-122,       Great World City, Singapore 237994 </v>
      </c>
      <c r="G11" s="481"/>
      <c r="H11" s="482"/>
      <c r="J11" s="26" t="s">
        <v>9</v>
      </c>
      <c r="K11" s="495">
        <v>45395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1948</v>
      </c>
      <c r="D18" s="461" t="str">
        <f>VLOOKUP(C18,'Sales Master'!B$3:D$530,2,)</f>
        <v>Lemongrass Flavour Aiyu Jelly</v>
      </c>
      <c r="E18" s="461"/>
      <c r="F18" s="461"/>
      <c r="G18" s="76">
        <v>5</v>
      </c>
      <c r="H18" s="186" t="str">
        <f>VLOOKUP(C18,'Sales Master'!$B$3:$F$2481,5,0)</f>
        <v>GW 1 KG/ BOX</v>
      </c>
      <c r="I18" s="497" t="str">
        <f>VLOOKUP(C18,'Sales Master'!$B$3:$E$2481,4,0)</f>
        <v>DO!</v>
      </c>
      <c r="J18" s="497"/>
      <c r="K18" s="30">
        <f>VLOOKUP(C18,'Sales Master'!B$3:CK$530,88,0)</f>
        <v>4.8</v>
      </c>
      <c r="L18" s="64">
        <f>K18*G18</f>
        <v>24</v>
      </c>
      <c r="M18" s="65"/>
      <c r="N18" s="145">
        <f>VLOOKUP(C18,'Sales Master'!$B$3:$DA$2272,104,0)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2F75-222E-4765-A077-11745CBE99BF}">
  <sheetPr>
    <tabColor rgb="FFFFC000"/>
    <pageSetUpPr fitToPage="1"/>
  </sheetPr>
  <dimension ref="B1:S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1952</v>
      </c>
      <c r="J10" s="24" t="s">
        <v>27</v>
      </c>
      <c r="K10" s="493">
        <v>202404564</v>
      </c>
      <c r="L10" s="494"/>
    </row>
    <row r="11" spans="2:14" ht="20.149999999999999" customHeight="1" x14ac:dyDescent="0.45">
      <c r="B11" s="477" t="s">
        <v>1974</v>
      </c>
      <c r="C11" s="478"/>
      <c r="D11" s="479"/>
      <c r="E11" s="25"/>
      <c r="F11" s="480" t="str">
        <f>VLOOKUP(H10,'Delivery Location'!A$4:N$460,2,0)</f>
        <v>Elemen @ Harbourfront Centre                  1 Maritime Square, #02-85                Singapore 099253</v>
      </c>
      <c r="G11" s="481"/>
      <c r="H11" s="482"/>
      <c r="J11" s="26" t="s">
        <v>9</v>
      </c>
      <c r="K11" s="495">
        <v>45405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1948</v>
      </c>
      <c r="D18" s="461" t="str">
        <f>VLOOKUP(C18,'Sales Master'!B$3:D$530,2,)</f>
        <v>Lemongrass Flavour Aiyu Jelly</v>
      </c>
      <c r="E18" s="461"/>
      <c r="F18" s="461"/>
      <c r="G18" s="76">
        <v>6</v>
      </c>
      <c r="H18" s="186" t="str">
        <f>VLOOKUP(C18,'Sales Master'!$B$3:$F$2481,5,0)</f>
        <v>GW 1 KG/ BOX</v>
      </c>
      <c r="I18" s="497" t="str">
        <f>VLOOKUP(C18,'Sales Master'!$B$3:$E$2481,4,0)</f>
        <v>DO!</v>
      </c>
      <c r="J18" s="497"/>
      <c r="K18" s="30">
        <f>VLOOKUP(C18,'Sales Master'!B$3:CK$530,88,0)</f>
        <v>4.8</v>
      </c>
      <c r="L18" s="64">
        <f>K18*G18</f>
        <v>28.799999999999997</v>
      </c>
      <c r="M18" s="65"/>
      <c r="N18" s="145">
        <f>VLOOKUP(C18,'Sales Master'!$B$3:$DA$2272,104,0)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DCB-F4D9-425E-ABED-F6140D594751}">
  <sheetPr>
    <tabColor rgb="FFFFC000"/>
    <pageSetUpPr fitToPage="1"/>
  </sheetPr>
  <dimension ref="B1:S42"/>
  <sheetViews>
    <sheetView topLeftCell="A8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1953</v>
      </c>
      <c r="J10" s="24" t="s">
        <v>27</v>
      </c>
      <c r="K10" s="493">
        <v>202403591</v>
      </c>
      <c r="L10" s="494"/>
    </row>
    <row r="11" spans="2:14" ht="20.149999999999999" customHeight="1" x14ac:dyDescent="0.45">
      <c r="B11" s="477" t="s">
        <v>1974</v>
      </c>
      <c r="C11" s="478"/>
      <c r="D11" s="479"/>
      <c r="E11" s="25"/>
      <c r="F11" s="480" t="str">
        <f>VLOOKUP(H10,'Delivery Location'!A$4:N$460,2,0)</f>
        <v>Elemen @ Koufu HQ                                      1 Woodlands Height #01-02 Singapore 737859</v>
      </c>
      <c r="G11" s="481"/>
      <c r="H11" s="482"/>
      <c r="J11" s="26" t="s">
        <v>9</v>
      </c>
      <c r="K11" s="495">
        <v>45377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1948</v>
      </c>
      <c r="D18" s="461" t="str">
        <f>VLOOKUP(C18,'Sales Master'!B$3:D$530,2,)</f>
        <v>Lemongrass Flavour Aiyu Jelly</v>
      </c>
      <c r="E18" s="461"/>
      <c r="F18" s="461"/>
      <c r="G18" s="76">
        <v>6</v>
      </c>
      <c r="H18" s="186" t="str">
        <f>VLOOKUP(C18,'Sales Master'!$B$3:$F$2481,5,0)</f>
        <v>GW 1 KG/ BOX</v>
      </c>
      <c r="I18" s="497" t="str">
        <f>VLOOKUP(C18,'Sales Master'!$B$3:$E$2481,4,0)</f>
        <v>DO!</v>
      </c>
      <c r="J18" s="497"/>
      <c r="K18" s="30">
        <f>VLOOKUP(C18,'Sales Master'!B$3:CK$530,88,0)</f>
        <v>4.8</v>
      </c>
      <c r="L18" s="64">
        <f>K18*G18</f>
        <v>28.799999999999997</v>
      </c>
      <c r="M18" s="65"/>
      <c r="N18" s="145">
        <f>VLOOKUP(C18,'Sales Master'!$B$3:$DA$2272,104,0)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tabColor rgb="FF00B050"/>
    <pageSetUpPr fitToPage="1"/>
  </sheetPr>
  <dimension ref="A1:P269"/>
  <sheetViews>
    <sheetView zoomScaleNormal="100" workbookViewId="0">
      <selection activeCell="A46" sqref="A46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16"/>
  </cols>
  <sheetData>
    <row r="1" spans="1:16" x14ac:dyDescent="0.35">
      <c r="A1" s="14" t="s">
        <v>75</v>
      </c>
    </row>
    <row r="2" spans="1:16" ht="14.15" customHeight="1" x14ac:dyDescent="0.35"/>
    <row r="3" spans="1:16" ht="30" customHeight="1" x14ac:dyDescent="0.35">
      <c r="A3" s="54" t="s">
        <v>76</v>
      </c>
      <c r="B3" s="442" t="s">
        <v>75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262" t="s">
        <v>160</v>
      </c>
      <c r="P3" s="55" t="s">
        <v>285</v>
      </c>
    </row>
    <row r="4" spans="1:16" ht="20.149999999999999" hidden="1" customHeight="1" x14ac:dyDescent="0.35">
      <c r="A4" s="171" t="s">
        <v>116</v>
      </c>
      <c r="B4" s="421" t="s">
        <v>1905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1" t="s">
        <v>114</v>
      </c>
      <c r="P4" s="53" t="s">
        <v>286</v>
      </c>
    </row>
    <row r="5" spans="1:16" ht="20.149999999999999" hidden="1" customHeight="1" x14ac:dyDescent="0.35">
      <c r="A5" s="171" t="s">
        <v>77</v>
      </c>
      <c r="B5" s="421" t="s">
        <v>1431</v>
      </c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1" t="s">
        <v>114</v>
      </c>
      <c r="P5" s="53" t="s">
        <v>286</v>
      </c>
    </row>
    <row r="6" spans="1:16" ht="20.149999999999999" hidden="1" customHeight="1" x14ac:dyDescent="0.35">
      <c r="A6" s="171" t="s">
        <v>78</v>
      </c>
      <c r="B6" s="421" t="s">
        <v>1432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1" t="s">
        <v>114</v>
      </c>
      <c r="P6" s="53" t="s">
        <v>286</v>
      </c>
    </row>
    <row r="7" spans="1:16" ht="20.149999999999999" hidden="1" customHeight="1" x14ac:dyDescent="0.35">
      <c r="A7" s="171" t="s">
        <v>79</v>
      </c>
      <c r="B7" s="421" t="s">
        <v>1907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1" t="s">
        <v>114</v>
      </c>
      <c r="P7" s="53" t="s">
        <v>286</v>
      </c>
    </row>
    <row r="8" spans="1:16" ht="20.149999999999999" hidden="1" customHeight="1" x14ac:dyDescent="0.35">
      <c r="A8" s="171" t="s">
        <v>84</v>
      </c>
      <c r="B8" s="421" t="s">
        <v>1906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1" t="s">
        <v>114</v>
      </c>
      <c r="P8" s="53" t="s">
        <v>286</v>
      </c>
    </row>
    <row r="9" spans="1:16" ht="20.149999999999999" hidden="1" customHeight="1" x14ac:dyDescent="0.35">
      <c r="A9" s="171" t="s">
        <v>89</v>
      </c>
      <c r="B9" s="421" t="s">
        <v>487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1" t="s">
        <v>114</v>
      </c>
      <c r="P9" s="53" t="s">
        <v>286</v>
      </c>
    </row>
    <row r="10" spans="1:16" ht="20.149999999999999" hidden="1" customHeight="1" x14ac:dyDescent="0.35">
      <c r="A10" s="171" t="s">
        <v>90</v>
      </c>
      <c r="B10" s="421" t="s">
        <v>513</v>
      </c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1" t="s">
        <v>114</v>
      </c>
      <c r="P10" s="53" t="s">
        <v>286</v>
      </c>
    </row>
    <row r="11" spans="1:16" ht="20.149999999999999" hidden="1" customHeight="1" x14ac:dyDescent="0.35">
      <c r="A11" s="171" t="s">
        <v>117</v>
      </c>
      <c r="B11" s="421" t="s">
        <v>1679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1" t="s">
        <v>212</v>
      </c>
      <c r="P11" s="53" t="s">
        <v>286</v>
      </c>
    </row>
    <row r="12" spans="1:16" ht="20.149999999999999" hidden="1" customHeight="1" x14ac:dyDescent="0.35">
      <c r="A12" s="79" t="s">
        <v>118</v>
      </c>
      <c r="B12" s="424" t="s">
        <v>1720</v>
      </c>
      <c r="C12" s="424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13" t="s">
        <v>1802</v>
      </c>
      <c r="P12" s="53"/>
    </row>
    <row r="13" spans="1:16" ht="20.149999999999999" hidden="1" customHeight="1" x14ac:dyDescent="0.35">
      <c r="A13" s="171" t="s">
        <v>119</v>
      </c>
      <c r="B13" s="421" t="s">
        <v>1985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13" t="s">
        <v>113</v>
      </c>
      <c r="P13" s="53" t="s">
        <v>286</v>
      </c>
    </row>
    <row r="14" spans="1:16" ht="20.149999999999999" hidden="1" customHeight="1" x14ac:dyDescent="0.35">
      <c r="A14" s="171" t="s">
        <v>120</v>
      </c>
      <c r="B14" s="421" t="s">
        <v>1534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1" t="s">
        <v>114</v>
      </c>
      <c r="P14" s="53"/>
    </row>
    <row r="15" spans="1:16" ht="20.149999999999999" hidden="1" customHeight="1" x14ac:dyDescent="0.35">
      <c r="A15" s="171" t="s">
        <v>121</v>
      </c>
      <c r="B15" s="441" t="s">
        <v>1989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12"/>
      <c r="P15" s="53" t="s">
        <v>286</v>
      </c>
    </row>
    <row r="16" spans="1:16" ht="20.149999999999999" hidden="1" customHeight="1" x14ac:dyDescent="0.35">
      <c r="A16" s="171" t="s">
        <v>122</v>
      </c>
      <c r="B16" s="421" t="s">
        <v>2210</v>
      </c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13" t="s">
        <v>113</v>
      </c>
      <c r="P16" s="53" t="s">
        <v>286</v>
      </c>
    </row>
    <row r="17" spans="1:16" ht="20.149999999999999" hidden="1" customHeight="1" x14ac:dyDescent="0.35">
      <c r="A17" s="171" t="s">
        <v>123</v>
      </c>
      <c r="B17" s="436" t="s">
        <v>213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12" t="s">
        <v>157</v>
      </c>
      <c r="P17" s="53" t="s">
        <v>286</v>
      </c>
    </row>
    <row r="18" spans="1:16" ht="20.149999999999999" hidden="1" customHeight="1" x14ac:dyDescent="0.35">
      <c r="A18" s="171" t="s">
        <v>124</v>
      </c>
      <c r="B18" s="421" t="s">
        <v>488</v>
      </c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1" t="s">
        <v>114</v>
      </c>
      <c r="P18" s="53" t="s">
        <v>286</v>
      </c>
    </row>
    <row r="19" spans="1:16" ht="20.149999999999999" hidden="1" customHeight="1" x14ac:dyDescent="0.35">
      <c r="A19" s="171" t="s">
        <v>125</v>
      </c>
      <c r="B19" s="421" t="s">
        <v>489</v>
      </c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1" t="s">
        <v>114</v>
      </c>
      <c r="P19" s="53" t="s">
        <v>286</v>
      </c>
    </row>
    <row r="20" spans="1:16" ht="20.149999999999999" hidden="1" customHeight="1" x14ac:dyDescent="0.35">
      <c r="A20" s="171" t="s">
        <v>126</v>
      </c>
      <c r="B20" s="421" t="s">
        <v>1517</v>
      </c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1" t="s">
        <v>114</v>
      </c>
      <c r="P20" s="53" t="s">
        <v>286</v>
      </c>
    </row>
    <row r="21" spans="1:16" ht="20.149999999999999" hidden="1" customHeight="1" x14ac:dyDescent="0.35">
      <c r="A21" s="171" t="s">
        <v>127</v>
      </c>
      <c r="B21" s="421" t="s">
        <v>1579</v>
      </c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1" t="s">
        <v>212</v>
      </c>
      <c r="P21" s="53"/>
    </row>
    <row r="22" spans="1:16" ht="20.149999999999999" hidden="1" customHeight="1" x14ac:dyDescent="0.35">
      <c r="A22" s="171" t="s">
        <v>128</v>
      </c>
      <c r="B22" s="430" t="s">
        <v>1891</v>
      </c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2"/>
      <c r="O22" s="13" t="s">
        <v>212</v>
      </c>
      <c r="P22" s="53"/>
    </row>
    <row r="23" spans="1:16" ht="20.149999999999999" hidden="1" customHeight="1" x14ac:dyDescent="0.35">
      <c r="A23" s="171" t="s">
        <v>129</v>
      </c>
      <c r="B23" s="436" t="s">
        <v>158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11" t="s">
        <v>157</v>
      </c>
      <c r="P23" s="53" t="s">
        <v>286</v>
      </c>
    </row>
    <row r="24" spans="1:16" ht="20.149999999999999" hidden="1" customHeight="1" x14ac:dyDescent="0.35">
      <c r="A24" s="171" t="s">
        <v>130</v>
      </c>
      <c r="B24" s="421" t="s">
        <v>1698</v>
      </c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1" t="s">
        <v>1803</v>
      </c>
      <c r="P24" s="53" t="s">
        <v>286</v>
      </c>
    </row>
    <row r="25" spans="1:16" ht="20.149999999999999" hidden="1" customHeight="1" x14ac:dyDescent="0.35">
      <c r="A25" s="171" t="s">
        <v>131</v>
      </c>
      <c r="B25" s="421" t="s">
        <v>1513</v>
      </c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1" t="s">
        <v>114</v>
      </c>
      <c r="P25" s="53" t="s">
        <v>288</v>
      </c>
    </row>
    <row r="26" spans="1:16" ht="20.149999999999999" hidden="1" customHeight="1" x14ac:dyDescent="0.35">
      <c r="A26" s="148" t="s">
        <v>132</v>
      </c>
      <c r="B26" s="423" t="s">
        <v>1895</v>
      </c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N26" s="424"/>
      <c r="O26" s="1"/>
      <c r="P26" s="53" t="s">
        <v>286</v>
      </c>
    </row>
    <row r="27" spans="1:16" ht="20.149999999999999" hidden="1" customHeight="1" x14ac:dyDescent="0.35">
      <c r="A27" s="171" t="s">
        <v>133</v>
      </c>
      <c r="B27" s="443" t="s">
        <v>433</v>
      </c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2" t="s">
        <v>212</v>
      </c>
      <c r="P27" s="62" t="s">
        <v>286</v>
      </c>
    </row>
    <row r="28" spans="1:16" ht="20.149999999999999" hidden="1" customHeight="1" x14ac:dyDescent="0.35">
      <c r="A28" s="171" t="s">
        <v>134</v>
      </c>
      <c r="B28" s="437" t="s">
        <v>591</v>
      </c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60" t="s">
        <v>212</v>
      </c>
      <c r="P28" s="62" t="s">
        <v>286</v>
      </c>
    </row>
    <row r="29" spans="1:16" ht="20.149999999999999" hidden="1" customHeight="1" x14ac:dyDescent="0.35">
      <c r="A29" s="171" t="s">
        <v>135</v>
      </c>
      <c r="B29" s="421" t="s">
        <v>1069</v>
      </c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13"/>
      <c r="P29" s="53" t="s">
        <v>287</v>
      </c>
    </row>
    <row r="30" spans="1:16" ht="20.149999999999999" hidden="1" customHeight="1" x14ac:dyDescent="0.35">
      <c r="A30" s="171" t="s">
        <v>136</v>
      </c>
      <c r="B30" s="421" t="s">
        <v>203</v>
      </c>
      <c r="C30" s="421"/>
      <c r="D30" s="421"/>
      <c r="E30" s="421"/>
      <c r="F30" s="421"/>
      <c r="G30" s="421"/>
      <c r="H30" s="421"/>
      <c r="I30" s="421"/>
      <c r="J30" s="421"/>
      <c r="K30" s="421"/>
      <c r="L30" s="421"/>
      <c r="M30" s="421"/>
      <c r="N30" s="421"/>
      <c r="O30" s="1" t="s">
        <v>212</v>
      </c>
      <c r="P30" s="53" t="s">
        <v>287</v>
      </c>
    </row>
    <row r="31" spans="1:16" ht="20.149999999999999" hidden="1" customHeight="1" x14ac:dyDescent="0.35">
      <c r="A31" s="171" t="s">
        <v>137</v>
      </c>
      <c r="B31" s="421" t="s">
        <v>1300</v>
      </c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1" t="s">
        <v>114</v>
      </c>
      <c r="P31" s="53" t="s">
        <v>289</v>
      </c>
    </row>
    <row r="32" spans="1:16" ht="20.149999999999999" hidden="1" customHeight="1" x14ac:dyDescent="0.35">
      <c r="A32" s="171" t="s">
        <v>138</v>
      </c>
      <c r="B32" s="421" t="s">
        <v>1178</v>
      </c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  <c r="O32" s="1" t="s">
        <v>114</v>
      </c>
      <c r="P32" s="53" t="s">
        <v>289</v>
      </c>
    </row>
    <row r="33" spans="1:16" ht="20.149999999999999" hidden="1" customHeight="1" x14ac:dyDescent="0.35">
      <c r="A33" s="171" t="s">
        <v>139</v>
      </c>
      <c r="B33" s="421" t="s">
        <v>569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1" t="s">
        <v>212</v>
      </c>
      <c r="P33" s="53" t="s">
        <v>291</v>
      </c>
    </row>
    <row r="34" spans="1:16" ht="20.149999999999999" hidden="1" customHeight="1" x14ac:dyDescent="0.35">
      <c r="A34" s="171" t="s">
        <v>140</v>
      </c>
      <c r="B34" s="421" t="s">
        <v>478</v>
      </c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1" t="s">
        <v>114</v>
      </c>
      <c r="P34" s="53" t="s">
        <v>291</v>
      </c>
    </row>
    <row r="35" spans="1:16" ht="20.149999999999999" hidden="1" customHeight="1" x14ac:dyDescent="0.35">
      <c r="A35" s="171" t="s">
        <v>141</v>
      </c>
      <c r="B35" s="421" t="s">
        <v>479</v>
      </c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1" t="s">
        <v>114</v>
      </c>
      <c r="P35" s="53" t="s">
        <v>291</v>
      </c>
    </row>
    <row r="36" spans="1:16" ht="20.149999999999999" hidden="1" customHeight="1" x14ac:dyDescent="0.35">
      <c r="A36" s="171" t="s">
        <v>142</v>
      </c>
      <c r="B36" s="421" t="s">
        <v>2006</v>
      </c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13" t="s">
        <v>113</v>
      </c>
      <c r="P36" s="53" t="s">
        <v>291</v>
      </c>
    </row>
    <row r="37" spans="1:16" ht="20.149999999999999" hidden="1" customHeight="1" x14ac:dyDescent="0.35">
      <c r="A37" s="171" t="s">
        <v>143</v>
      </c>
      <c r="B37" s="421" t="s">
        <v>1364</v>
      </c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1"/>
      <c r="P37" s="53"/>
    </row>
    <row r="38" spans="1:16" ht="20.149999999999999" hidden="1" customHeight="1" x14ac:dyDescent="0.35">
      <c r="A38" s="171" t="s">
        <v>144</v>
      </c>
      <c r="B38" s="421" t="s">
        <v>338</v>
      </c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1" t="s">
        <v>114</v>
      </c>
      <c r="P38" s="53" t="s">
        <v>288</v>
      </c>
    </row>
    <row r="39" spans="1:16" ht="20.149999999999999" hidden="1" customHeight="1" x14ac:dyDescent="0.35">
      <c r="A39" s="171" t="s">
        <v>163</v>
      </c>
      <c r="B39" s="421" t="s">
        <v>1502</v>
      </c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1" t="s">
        <v>114</v>
      </c>
      <c r="P39" s="53" t="s">
        <v>288</v>
      </c>
    </row>
    <row r="40" spans="1:16" ht="20.149999999999999" hidden="1" customHeight="1" x14ac:dyDescent="0.35">
      <c r="A40" s="171" t="s">
        <v>164</v>
      </c>
      <c r="B40" s="425" t="s">
        <v>1963</v>
      </c>
      <c r="C40" s="421"/>
      <c r="D40" s="421"/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1" t="s">
        <v>114</v>
      </c>
      <c r="P40" s="53" t="s">
        <v>288</v>
      </c>
    </row>
    <row r="41" spans="1:16" ht="20.149999999999999" hidden="1" customHeight="1" x14ac:dyDescent="0.35">
      <c r="A41" s="171" t="s">
        <v>165</v>
      </c>
      <c r="B41" s="421" t="s">
        <v>1964</v>
      </c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1" t="s">
        <v>114</v>
      </c>
      <c r="P41" s="53" t="s">
        <v>288</v>
      </c>
    </row>
    <row r="42" spans="1:16" ht="20.149999999999999" hidden="1" customHeight="1" x14ac:dyDescent="0.35">
      <c r="A42" s="171" t="s">
        <v>166</v>
      </c>
      <c r="B42" s="421" t="s">
        <v>490</v>
      </c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1"/>
      <c r="O42" s="1" t="s">
        <v>114</v>
      </c>
      <c r="P42" s="53" t="s">
        <v>288</v>
      </c>
    </row>
    <row r="43" spans="1:16" ht="20.149999999999999" hidden="1" customHeight="1" x14ac:dyDescent="0.35">
      <c r="A43" s="171" t="s">
        <v>167</v>
      </c>
      <c r="B43" s="421" t="s">
        <v>491</v>
      </c>
      <c r="C43" s="421"/>
      <c r="D43" s="421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1" t="s">
        <v>114</v>
      </c>
      <c r="P43" s="53" t="s">
        <v>288</v>
      </c>
    </row>
    <row r="44" spans="1:16" ht="20.149999999999999" hidden="1" customHeight="1" x14ac:dyDescent="0.35">
      <c r="A44" s="171" t="s">
        <v>168</v>
      </c>
      <c r="B44" s="421" t="s">
        <v>492</v>
      </c>
      <c r="C44" s="421"/>
      <c r="D44" s="421"/>
      <c r="E44" s="421"/>
      <c r="F44" s="421"/>
      <c r="G44" s="421"/>
      <c r="H44" s="421"/>
      <c r="I44" s="421"/>
      <c r="J44" s="421"/>
      <c r="K44" s="421"/>
      <c r="L44" s="421"/>
      <c r="M44" s="421"/>
      <c r="N44" s="421"/>
      <c r="O44" s="1" t="s">
        <v>114</v>
      </c>
      <c r="P44" s="53" t="s">
        <v>288</v>
      </c>
    </row>
    <row r="45" spans="1:16" ht="20.149999999999999" hidden="1" customHeight="1" x14ac:dyDescent="0.35">
      <c r="A45" s="171" t="s">
        <v>169</v>
      </c>
      <c r="B45" s="421" t="s">
        <v>2149</v>
      </c>
      <c r="C45" s="421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1"/>
      <c r="O45" s="1"/>
      <c r="P45" s="53" t="s">
        <v>288</v>
      </c>
    </row>
    <row r="46" spans="1:16" ht="20.149999999999999" customHeight="1" x14ac:dyDescent="0.35">
      <c r="A46" s="171" t="s">
        <v>170</v>
      </c>
      <c r="B46" s="421" t="s">
        <v>2288</v>
      </c>
      <c r="C46" s="421"/>
      <c r="D46" s="421"/>
      <c r="E46" s="421"/>
      <c r="F46" s="421"/>
      <c r="G46" s="421"/>
      <c r="H46" s="421"/>
      <c r="I46" s="421"/>
      <c r="J46" s="421"/>
      <c r="K46" s="421"/>
      <c r="L46" s="421"/>
      <c r="M46" s="421"/>
      <c r="N46" s="421"/>
      <c r="O46" s="1" t="s">
        <v>114</v>
      </c>
      <c r="P46" s="53" t="s">
        <v>288</v>
      </c>
    </row>
    <row r="47" spans="1:16" ht="20.149999999999999" customHeight="1" x14ac:dyDescent="0.35">
      <c r="A47" s="171" t="s">
        <v>171</v>
      </c>
      <c r="B47" s="421" t="s">
        <v>1695</v>
      </c>
      <c r="C47" s="421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1"/>
      <c r="O47" s="1" t="s">
        <v>114</v>
      </c>
      <c r="P47" s="53" t="s">
        <v>288</v>
      </c>
    </row>
    <row r="48" spans="1:16" ht="20.149999999999999" hidden="1" customHeight="1" x14ac:dyDescent="0.35">
      <c r="A48" s="171" t="s">
        <v>172</v>
      </c>
      <c r="B48" s="421" t="s">
        <v>1315</v>
      </c>
      <c r="C48" s="421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  <c r="O48" s="3" t="s">
        <v>114</v>
      </c>
      <c r="P48" s="53" t="s">
        <v>288</v>
      </c>
    </row>
    <row r="49" spans="1:16" ht="20.149999999999999" hidden="1" customHeight="1" x14ac:dyDescent="0.35">
      <c r="A49" s="171" t="s">
        <v>173</v>
      </c>
      <c r="B49" s="436" t="s">
        <v>665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  <c r="N49" s="436"/>
      <c r="O49" s="12" t="s">
        <v>114</v>
      </c>
      <c r="P49" s="53" t="s">
        <v>288</v>
      </c>
    </row>
    <row r="50" spans="1:16" ht="20.149999999999999" hidden="1" customHeight="1" x14ac:dyDescent="0.35">
      <c r="A50" s="171" t="s">
        <v>174</v>
      </c>
      <c r="B50" s="421" t="s">
        <v>493</v>
      </c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1" t="s">
        <v>114</v>
      </c>
      <c r="P50" s="53" t="s">
        <v>288</v>
      </c>
    </row>
    <row r="51" spans="1:16" ht="20.149999999999999" hidden="1" customHeight="1" x14ac:dyDescent="0.35">
      <c r="A51" s="171" t="s">
        <v>175</v>
      </c>
      <c r="B51" s="421" t="s">
        <v>1388</v>
      </c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1" t="s">
        <v>114</v>
      </c>
      <c r="P51" s="53" t="s">
        <v>288</v>
      </c>
    </row>
    <row r="52" spans="1:16" ht="20.149999999999999" hidden="1" customHeight="1" x14ac:dyDescent="0.35">
      <c r="A52" s="171" t="s">
        <v>176</v>
      </c>
      <c r="B52" s="421" t="s">
        <v>1387</v>
      </c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3" t="s">
        <v>114</v>
      </c>
      <c r="P52" s="53" t="s">
        <v>288</v>
      </c>
    </row>
    <row r="53" spans="1:16" ht="20.149999999999999" hidden="1" customHeight="1" x14ac:dyDescent="0.35">
      <c r="A53" s="171" t="s">
        <v>177</v>
      </c>
      <c r="B53" s="438" t="s">
        <v>2211</v>
      </c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40"/>
      <c r="O53" s="13" t="s">
        <v>113</v>
      </c>
      <c r="P53" s="53" t="s">
        <v>288</v>
      </c>
    </row>
    <row r="54" spans="1:16" ht="20.149999999999999" hidden="1" customHeight="1" x14ac:dyDescent="0.35">
      <c r="A54" s="171" t="s">
        <v>178</v>
      </c>
      <c r="B54" s="421" t="s">
        <v>1696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1" t="s">
        <v>114</v>
      </c>
      <c r="P54" s="53" t="s">
        <v>288</v>
      </c>
    </row>
    <row r="55" spans="1:16" ht="20.149999999999999" hidden="1" customHeight="1" x14ac:dyDescent="0.35">
      <c r="A55" s="171" t="s">
        <v>179</v>
      </c>
      <c r="B55" s="421" t="s">
        <v>1348</v>
      </c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1" t="s">
        <v>212</v>
      </c>
      <c r="P55" s="53" t="s">
        <v>288</v>
      </c>
    </row>
    <row r="56" spans="1:16" ht="20.149999999999999" hidden="1" customHeight="1" x14ac:dyDescent="0.35">
      <c r="A56" t="s">
        <v>180</v>
      </c>
      <c r="B56" s="421" t="s">
        <v>494</v>
      </c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1" t="s">
        <v>114</v>
      </c>
      <c r="P56" s="53" t="s">
        <v>292</v>
      </c>
    </row>
    <row r="57" spans="1:16" ht="20.149999999999999" hidden="1" customHeight="1" x14ac:dyDescent="0.35">
      <c r="A57" s="171" t="s">
        <v>181</v>
      </c>
      <c r="B57" s="421" t="s">
        <v>1317</v>
      </c>
      <c r="C57" s="421"/>
      <c r="D57" s="421"/>
      <c r="E57" s="421"/>
      <c r="F57" s="421"/>
      <c r="G57" s="421"/>
      <c r="H57" s="421"/>
      <c r="I57" s="421"/>
      <c r="J57" s="421"/>
      <c r="K57" s="421"/>
      <c r="L57" s="421"/>
      <c r="M57" s="421"/>
      <c r="N57" s="421"/>
      <c r="O57" s="1" t="s">
        <v>114</v>
      </c>
      <c r="P57" s="53" t="s">
        <v>292</v>
      </c>
    </row>
    <row r="58" spans="1:16" ht="20.149999999999999" hidden="1" customHeight="1" x14ac:dyDescent="0.35">
      <c r="A58" s="171" t="s">
        <v>182</v>
      </c>
      <c r="B58" s="421" t="s">
        <v>495</v>
      </c>
      <c r="C58" s="421"/>
      <c r="D58" s="421"/>
      <c r="E58" s="421"/>
      <c r="F58" s="421"/>
      <c r="G58" s="421"/>
      <c r="H58" s="421"/>
      <c r="I58" s="421"/>
      <c r="J58" s="421"/>
      <c r="K58" s="421"/>
      <c r="L58" s="421"/>
      <c r="M58" s="421"/>
      <c r="N58" s="421"/>
      <c r="O58" s="1" t="s">
        <v>114</v>
      </c>
      <c r="P58" s="53" t="s">
        <v>292</v>
      </c>
    </row>
    <row r="59" spans="1:16" ht="20.149999999999999" hidden="1" customHeight="1" x14ac:dyDescent="0.35">
      <c r="A59" s="171" t="s">
        <v>183</v>
      </c>
      <c r="B59" s="421" t="s">
        <v>1430</v>
      </c>
      <c r="C59" s="421"/>
      <c r="D59" s="421"/>
      <c r="E59" s="421"/>
      <c r="F59" s="421"/>
      <c r="G59" s="421"/>
      <c r="H59" s="421"/>
      <c r="I59" s="421"/>
      <c r="J59" s="421"/>
      <c r="K59" s="421"/>
      <c r="L59" s="421"/>
      <c r="M59" s="421"/>
      <c r="N59" s="421"/>
      <c r="O59" s="1" t="s">
        <v>114</v>
      </c>
      <c r="P59" s="53" t="s">
        <v>292</v>
      </c>
    </row>
    <row r="60" spans="1:16" ht="20.149999999999999" hidden="1" customHeight="1" x14ac:dyDescent="0.35">
      <c r="A60" s="171" t="s">
        <v>184</v>
      </c>
      <c r="B60" s="436" t="s">
        <v>1918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  <c r="O60" s="12" t="s">
        <v>157</v>
      </c>
      <c r="P60" s="53" t="s">
        <v>292</v>
      </c>
    </row>
    <row r="61" spans="1:16" ht="20.149999999999999" hidden="1" customHeight="1" x14ac:dyDescent="0.35">
      <c r="A61" s="171" t="s">
        <v>185</v>
      </c>
      <c r="B61" s="436" t="s">
        <v>1276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11" t="s">
        <v>157</v>
      </c>
      <c r="P61" s="53" t="s">
        <v>292</v>
      </c>
    </row>
    <row r="62" spans="1:16" ht="20.149999999999999" hidden="1" customHeight="1" x14ac:dyDescent="0.35">
      <c r="A62" s="171" t="s">
        <v>186</v>
      </c>
      <c r="B62" s="421" t="s">
        <v>161</v>
      </c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1" t="s">
        <v>212</v>
      </c>
      <c r="P62" s="53" t="s">
        <v>292</v>
      </c>
    </row>
    <row r="63" spans="1:16" ht="20.149999999999999" customHeight="1" x14ac:dyDescent="0.35">
      <c r="A63" s="171" t="s">
        <v>187</v>
      </c>
      <c r="B63" s="421" t="s">
        <v>2287</v>
      </c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1" t="s">
        <v>114</v>
      </c>
      <c r="P63" s="53" t="s">
        <v>292</v>
      </c>
    </row>
    <row r="64" spans="1:16" ht="20.149999999999999" hidden="1" customHeight="1" x14ac:dyDescent="0.35">
      <c r="A64" s="171" t="s">
        <v>188</v>
      </c>
      <c r="B64" s="421" t="s">
        <v>1447</v>
      </c>
      <c r="C64" s="421"/>
      <c r="D64" s="421"/>
      <c r="E64" s="421"/>
      <c r="F64" s="421"/>
      <c r="G64" s="421"/>
      <c r="H64" s="421"/>
      <c r="I64" s="421"/>
      <c r="J64" s="421"/>
      <c r="K64" s="421"/>
      <c r="L64" s="421"/>
      <c r="M64" s="421"/>
      <c r="N64" s="421"/>
      <c r="O64" s="1" t="s">
        <v>212</v>
      </c>
      <c r="P64" s="53" t="s">
        <v>292</v>
      </c>
    </row>
    <row r="65" spans="1:16" ht="20.149999999999999" hidden="1" customHeight="1" x14ac:dyDescent="0.35">
      <c r="A65" s="171" t="s">
        <v>189</v>
      </c>
      <c r="B65" s="421" t="s">
        <v>1535</v>
      </c>
      <c r="C65" s="421"/>
      <c r="D65" s="421"/>
      <c r="E65" s="421"/>
      <c r="F65" s="421"/>
      <c r="G65" s="421"/>
      <c r="H65" s="421"/>
      <c r="I65" s="421"/>
      <c r="J65" s="421"/>
      <c r="K65" s="421"/>
      <c r="L65" s="421"/>
      <c r="M65" s="421"/>
      <c r="N65" s="421"/>
      <c r="O65" s="1" t="s">
        <v>114</v>
      </c>
      <c r="P65" s="53" t="s">
        <v>286</v>
      </c>
    </row>
    <row r="66" spans="1:16" ht="20.149999999999999" hidden="1" customHeight="1" x14ac:dyDescent="0.35">
      <c r="A66" s="171" t="s">
        <v>190</v>
      </c>
      <c r="B66" s="421" t="s">
        <v>677</v>
      </c>
      <c r="C66" s="421"/>
      <c r="D66" s="421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1" t="s">
        <v>212</v>
      </c>
      <c r="P66" s="53" t="s">
        <v>292</v>
      </c>
    </row>
    <row r="67" spans="1:16" ht="20.149999999999999" hidden="1" customHeight="1" x14ac:dyDescent="0.35">
      <c r="A67" s="171" t="s">
        <v>191</v>
      </c>
      <c r="B67" s="421" t="s">
        <v>1312</v>
      </c>
      <c r="C67" s="421"/>
      <c r="D67" s="421"/>
      <c r="E67" s="421"/>
      <c r="F67" s="421"/>
      <c r="G67" s="421"/>
      <c r="H67" s="421"/>
      <c r="I67" s="421"/>
      <c r="J67" s="421"/>
      <c r="K67" s="421"/>
      <c r="L67" s="421"/>
      <c r="M67" s="421"/>
      <c r="N67" s="421"/>
      <c r="O67" s="1" t="s">
        <v>1803</v>
      </c>
      <c r="P67" s="53" t="s">
        <v>290</v>
      </c>
    </row>
    <row r="68" spans="1:16" ht="20.149999999999999" hidden="1" customHeight="1" x14ac:dyDescent="0.35">
      <c r="A68" s="171" t="s">
        <v>192</v>
      </c>
      <c r="B68" s="421" t="s">
        <v>1928</v>
      </c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421"/>
      <c r="N68" s="421"/>
      <c r="O68" s="1" t="s">
        <v>212</v>
      </c>
      <c r="P68" s="53" t="s">
        <v>290</v>
      </c>
    </row>
    <row r="69" spans="1:16" ht="20.149999999999999" hidden="1" customHeight="1" x14ac:dyDescent="0.35">
      <c r="A69" s="171" t="s">
        <v>193</v>
      </c>
      <c r="B69" s="421" t="s">
        <v>692</v>
      </c>
      <c r="C69" s="421"/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1" t="s">
        <v>212</v>
      </c>
      <c r="P69" s="53" t="s">
        <v>290</v>
      </c>
    </row>
    <row r="70" spans="1:16" ht="20.149999999999999" hidden="1" customHeight="1" x14ac:dyDescent="0.35">
      <c r="A70" s="171" t="s">
        <v>194</v>
      </c>
      <c r="B70" s="421" t="s">
        <v>1446</v>
      </c>
      <c r="C70" s="421"/>
      <c r="D70" s="421"/>
      <c r="E70" s="421"/>
      <c r="F70" s="421"/>
      <c r="G70" s="421"/>
      <c r="H70" s="421"/>
      <c r="I70" s="421"/>
      <c r="J70" s="421"/>
      <c r="K70" s="421"/>
      <c r="L70" s="421"/>
      <c r="M70" s="421"/>
      <c r="N70" s="421"/>
      <c r="O70" s="1" t="s">
        <v>212</v>
      </c>
      <c r="P70" s="53" t="s">
        <v>290</v>
      </c>
    </row>
    <row r="71" spans="1:16" ht="20.149999999999999" hidden="1" customHeight="1" x14ac:dyDescent="0.35">
      <c r="A71" s="171" t="s">
        <v>195</v>
      </c>
      <c r="B71" s="421" t="s">
        <v>219</v>
      </c>
      <c r="C71" s="421"/>
      <c r="D71" s="421"/>
      <c r="E71" s="421"/>
      <c r="F71" s="421"/>
      <c r="G71" s="421"/>
      <c r="H71" s="421"/>
      <c r="I71" s="421"/>
      <c r="J71" s="421"/>
      <c r="K71" s="421"/>
      <c r="L71" s="421"/>
      <c r="M71" s="421"/>
      <c r="N71" s="421"/>
      <c r="O71" s="1" t="s">
        <v>212</v>
      </c>
      <c r="P71" s="53" t="s">
        <v>290</v>
      </c>
    </row>
    <row r="72" spans="1:16" ht="20.149999999999999" hidden="1" customHeight="1" x14ac:dyDescent="0.35">
      <c r="A72" s="171" t="s">
        <v>196</v>
      </c>
      <c r="B72" s="429" t="s">
        <v>2061</v>
      </c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/>
      <c r="N72" s="429"/>
      <c r="O72" s="1" t="s">
        <v>212</v>
      </c>
      <c r="P72" s="53" t="s">
        <v>290</v>
      </c>
    </row>
    <row r="73" spans="1:16" ht="20.149999999999999" hidden="1" customHeight="1" x14ac:dyDescent="0.35">
      <c r="A73" s="59" t="s">
        <v>197</v>
      </c>
      <c r="B73" s="421" t="s">
        <v>1822</v>
      </c>
      <c r="C73" s="421"/>
      <c r="D73" s="421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132" t="s">
        <v>114</v>
      </c>
      <c r="P73" s="53"/>
    </row>
    <row r="74" spans="1:16" ht="20.149999999999999" hidden="1" customHeight="1" x14ac:dyDescent="0.35">
      <c r="A74" s="171" t="s">
        <v>198</v>
      </c>
      <c r="B74" s="436" t="s">
        <v>1105</v>
      </c>
      <c r="C74" s="436"/>
      <c r="D74" s="436"/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11" t="s">
        <v>157</v>
      </c>
      <c r="P74" s="53" t="s">
        <v>290</v>
      </c>
    </row>
    <row r="75" spans="1:16" ht="20.149999999999999" hidden="1" customHeight="1" x14ac:dyDescent="0.35">
      <c r="A75" s="171" t="s">
        <v>199</v>
      </c>
      <c r="B75" s="436" t="s">
        <v>159</v>
      </c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11" t="s">
        <v>157</v>
      </c>
      <c r="P75" s="53" t="s">
        <v>290</v>
      </c>
    </row>
    <row r="76" spans="1:16" ht="20.149999999999999" hidden="1" customHeight="1" x14ac:dyDescent="0.35">
      <c r="A76" s="171" t="s">
        <v>200</v>
      </c>
      <c r="B76" s="421" t="s">
        <v>1301</v>
      </c>
      <c r="C76" s="421"/>
      <c r="D76" s="421"/>
      <c r="E76" s="421"/>
      <c r="F76" s="421"/>
      <c r="G76" s="421"/>
      <c r="H76" s="421"/>
      <c r="I76" s="421"/>
      <c r="J76" s="421"/>
      <c r="K76" s="421"/>
      <c r="L76" s="421"/>
      <c r="M76" s="421"/>
      <c r="N76" s="421"/>
      <c r="O76" s="1" t="s">
        <v>114</v>
      </c>
      <c r="P76" s="53" t="s">
        <v>290</v>
      </c>
    </row>
    <row r="77" spans="1:16" ht="20.149999999999999" hidden="1" customHeight="1" x14ac:dyDescent="0.35">
      <c r="A77" s="171" t="s">
        <v>202</v>
      </c>
      <c r="B77" s="421" t="s">
        <v>496</v>
      </c>
      <c r="C77" s="421"/>
      <c r="D77" s="421"/>
      <c r="E77" s="421"/>
      <c r="F77" s="421"/>
      <c r="G77" s="421"/>
      <c r="H77" s="421"/>
      <c r="I77" s="421"/>
      <c r="J77" s="421"/>
      <c r="K77" s="421"/>
      <c r="L77" s="421"/>
      <c r="M77" s="421"/>
      <c r="N77" s="421"/>
      <c r="O77" s="1" t="s">
        <v>114</v>
      </c>
      <c r="P77" s="53" t="s">
        <v>290</v>
      </c>
    </row>
    <row r="78" spans="1:16" ht="20.149999999999999" hidden="1" customHeight="1" x14ac:dyDescent="0.35">
      <c r="A78" s="171" t="s">
        <v>206</v>
      </c>
      <c r="B78" s="421" t="s">
        <v>2283</v>
      </c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1" t="s">
        <v>114</v>
      </c>
      <c r="P78" s="53" t="s">
        <v>290</v>
      </c>
    </row>
    <row r="79" spans="1:16" ht="20.149999999999999" hidden="1" customHeight="1" x14ac:dyDescent="0.35">
      <c r="A79" s="171" t="s">
        <v>207</v>
      </c>
      <c r="B79" s="421" t="s">
        <v>497</v>
      </c>
      <c r="C79" s="421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1" t="s">
        <v>114</v>
      </c>
      <c r="P79" s="53" t="s">
        <v>290</v>
      </c>
    </row>
    <row r="80" spans="1:16" ht="20.149999999999999" hidden="1" customHeight="1" x14ac:dyDescent="0.35">
      <c r="A80" s="222" t="s">
        <v>210</v>
      </c>
      <c r="B80" s="428" t="s">
        <v>1537</v>
      </c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1" t="s">
        <v>1802</v>
      </c>
      <c r="P80" s="5"/>
    </row>
    <row r="81" spans="1:16" ht="20.149999999999999" hidden="1" customHeight="1" x14ac:dyDescent="0.35">
      <c r="A81" s="171" t="s">
        <v>211</v>
      </c>
      <c r="B81" s="421" t="s">
        <v>2212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13" t="s">
        <v>113</v>
      </c>
      <c r="P81" s="53" t="s">
        <v>290</v>
      </c>
    </row>
    <row r="82" spans="1:16" ht="20.149999999999999" hidden="1" customHeight="1" x14ac:dyDescent="0.35">
      <c r="A82" s="171" t="s">
        <v>220</v>
      </c>
      <c r="B82" s="421" t="s">
        <v>1708</v>
      </c>
      <c r="C82" s="421"/>
      <c r="D82" s="421"/>
      <c r="E82" s="421"/>
      <c r="F82" s="421"/>
      <c r="G82" s="421"/>
      <c r="H82" s="421"/>
      <c r="I82" s="421"/>
      <c r="J82" s="421"/>
      <c r="K82" s="421"/>
      <c r="L82" s="421"/>
      <c r="M82" s="421"/>
      <c r="N82" s="421"/>
      <c r="O82" s="1" t="s">
        <v>114</v>
      </c>
      <c r="P82" s="53" t="s">
        <v>290</v>
      </c>
    </row>
    <row r="83" spans="1:16" ht="20.149999999999999" hidden="1" customHeight="1" x14ac:dyDescent="0.35">
      <c r="A83" s="171" t="s">
        <v>221</v>
      </c>
      <c r="B83" s="421" t="s">
        <v>1729</v>
      </c>
      <c r="C83" s="421"/>
      <c r="D83" s="421"/>
      <c r="E83" s="421"/>
      <c r="F83" s="421"/>
      <c r="G83" s="421"/>
      <c r="H83" s="421"/>
      <c r="I83" s="421"/>
      <c r="J83" s="421"/>
      <c r="K83" s="421"/>
      <c r="L83" s="421"/>
      <c r="M83" s="421"/>
      <c r="N83" s="421"/>
      <c r="O83" s="1" t="s">
        <v>114</v>
      </c>
      <c r="P83" s="53" t="s">
        <v>290</v>
      </c>
    </row>
    <row r="84" spans="1:16" ht="20.149999999999999" hidden="1" customHeight="1" x14ac:dyDescent="0.35">
      <c r="A84" s="171" t="s">
        <v>222</v>
      </c>
      <c r="B84" s="421" t="s">
        <v>371</v>
      </c>
      <c r="C84" s="421"/>
      <c r="D84" s="421"/>
      <c r="E84" s="421"/>
      <c r="F84" s="421"/>
      <c r="G84" s="421"/>
      <c r="H84" s="421"/>
      <c r="I84" s="421"/>
      <c r="J84" s="421"/>
      <c r="K84" s="421"/>
      <c r="L84" s="421"/>
      <c r="M84" s="421"/>
      <c r="N84" s="421"/>
      <c r="O84" s="1" t="s">
        <v>114</v>
      </c>
      <c r="P84" s="53" t="s">
        <v>290</v>
      </c>
    </row>
    <row r="85" spans="1:16" ht="20.149999999999999" hidden="1" customHeight="1" x14ac:dyDescent="0.35">
      <c r="A85" s="148" t="s">
        <v>223</v>
      </c>
      <c r="B85" s="421" t="s">
        <v>498</v>
      </c>
      <c r="C85" s="421"/>
      <c r="D85" s="421"/>
      <c r="E85" s="421"/>
      <c r="F85" s="421"/>
      <c r="G85" s="421"/>
      <c r="H85" s="421"/>
      <c r="I85" s="421"/>
      <c r="J85" s="421"/>
      <c r="K85" s="421"/>
      <c r="L85" s="421"/>
      <c r="M85" s="421"/>
      <c r="N85" s="421"/>
      <c r="O85" s="1" t="s">
        <v>114</v>
      </c>
      <c r="P85" s="5" t="s">
        <v>290</v>
      </c>
    </row>
    <row r="86" spans="1:16" ht="20.149999999999999" hidden="1" customHeight="1" x14ac:dyDescent="0.35">
      <c r="A86" s="148" t="s">
        <v>224</v>
      </c>
      <c r="B86" s="421" t="s">
        <v>499</v>
      </c>
      <c r="C86" s="421"/>
      <c r="D86" s="421"/>
      <c r="E86" s="421"/>
      <c r="F86" s="421"/>
      <c r="G86" s="421"/>
      <c r="H86" s="421"/>
      <c r="I86" s="421"/>
      <c r="J86" s="421"/>
      <c r="K86" s="421"/>
      <c r="L86" s="421"/>
      <c r="M86" s="421"/>
      <c r="N86" s="421"/>
      <c r="O86" s="1" t="s">
        <v>114</v>
      </c>
      <c r="P86" s="5" t="s">
        <v>290</v>
      </c>
    </row>
    <row r="87" spans="1:16" ht="20.149999999999999" hidden="1" customHeight="1" x14ac:dyDescent="0.35">
      <c r="A87" s="94" t="s">
        <v>293</v>
      </c>
      <c r="B87" s="421" t="s">
        <v>486</v>
      </c>
      <c r="C87" s="421"/>
      <c r="D87" s="421"/>
      <c r="E87" s="421"/>
      <c r="F87" s="421"/>
      <c r="G87" s="421"/>
      <c r="H87" s="421"/>
      <c r="I87" s="421"/>
      <c r="J87" s="421"/>
      <c r="K87" s="421"/>
      <c r="L87" s="421"/>
      <c r="M87" s="421"/>
      <c r="N87" s="421"/>
      <c r="O87" s="1" t="s">
        <v>212</v>
      </c>
      <c r="P87" s="53" t="s">
        <v>34</v>
      </c>
    </row>
    <row r="88" spans="1:16" ht="20.149999999999999" hidden="1" customHeight="1" x14ac:dyDescent="0.35">
      <c r="A88" s="171" t="s">
        <v>294</v>
      </c>
      <c r="B88" s="421" t="s">
        <v>1904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1" t="s">
        <v>114</v>
      </c>
      <c r="P88" s="53" t="s">
        <v>34</v>
      </c>
    </row>
    <row r="89" spans="1:16" ht="20.149999999999999" hidden="1" customHeight="1" x14ac:dyDescent="0.35">
      <c r="A89" s="171" t="s">
        <v>295</v>
      </c>
      <c r="B89" s="421" t="s">
        <v>1929</v>
      </c>
      <c r="C89" s="421"/>
      <c r="D89" s="421"/>
      <c r="E89" s="421"/>
      <c r="F89" s="421"/>
      <c r="G89" s="421"/>
      <c r="H89" s="421"/>
      <c r="I89" s="421"/>
      <c r="J89" s="421"/>
      <c r="K89" s="421"/>
      <c r="L89" s="421"/>
      <c r="M89" s="421"/>
      <c r="N89" s="421"/>
      <c r="O89" s="1" t="s">
        <v>212</v>
      </c>
      <c r="P89" s="53" t="s">
        <v>34</v>
      </c>
    </row>
    <row r="90" spans="1:16" ht="20.149999999999999" hidden="1" customHeight="1" x14ac:dyDescent="0.35">
      <c r="A90" s="91" t="s">
        <v>411</v>
      </c>
      <c r="B90" s="421" t="s">
        <v>2290</v>
      </c>
      <c r="C90" s="421"/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1" t="s">
        <v>212</v>
      </c>
      <c r="P90" s="53" t="s">
        <v>34</v>
      </c>
    </row>
    <row r="91" spans="1:16" ht="20.149999999999999" hidden="1" customHeight="1" x14ac:dyDescent="0.35">
      <c r="A91" s="171" t="s">
        <v>419</v>
      </c>
      <c r="B91" s="428" t="s">
        <v>2213</v>
      </c>
      <c r="C91" s="428"/>
      <c r="D91" s="428"/>
      <c r="E91" s="428"/>
      <c r="F91" s="428"/>
      <c r="G91" s="428"/>
      <c r="H91" s="428"/>
      <c r="I91" s="428"/>
      <c r="J91" s="428"/>
      <c r="K91" s="428"/>
      <c r="L91" s="428"/>
      <c r="M91" s="428"/>
      <c r="N91" s="428"/>
      <c r="O91" s="13" t="s">
        <v>113</v>
      </c>
      <c r="P91" s="53" t="s">
        <v>290</v>
      </c>
    </row>
    <row r="92" spans="1:16" ht="20.149999999999999" hidden="1" customHeight="1" x14ac:dyDescent="0.35">
      <c r="A92" s="171" t="s">
        <v>420</v>
      </c>
      <c r="B92" s="428" t="s">
        <v>2286</v>
      </c>
      <c r="C92" s="428"/>
      <c r="D92" s="428"/>
      <c r="E92" s="428"/>
      <c r="F92" s="428"/>
      <c r="G92" s="428"/>
      <c r="H92" s="428"/>
      <c r="I92" s="428"/>
      <c r="J92" s="428"/>
      <c r="K92" s="428"/>
      <c r="L92" s="428"/>
      <c r="M92" s="428"/>
      <c r="N92" s="428"/>
      <c r="O92" s="13" t="s">
        <v>113</v>
      </c>
      <c r="P92" s="53"/>
    </row>
    <row r="93" spans="1:16" ht="20.149999999999999" hidden="1" customHeight="1" x14ac:dyDescent="0.35">
      <c r="A93" s="91" t="s">
        <v>441</v>
      </c>
      <c r="B93" s="429" t="s">
        <v>1751</v>
      </c>
      <c r="C93" s="429"/>
      <c r="D93" s="429"/>
      <c r="E93" s="429"/>
      <c r="F93" s="429"/>
      <c r="G93" s="429"/>
      <c r="H93" s="429"/>
      <c r="I93" s="429"/>
      <c r="J93" s="429"/>
      <c r="K93" s="429"/>
      <c r="L93" s="429"/>
      <c r="M93" s="429"/>
      <c r="N93" s="429"/>
      <c r="O93" s="13"/>
      <c r="P93" s="5"/>
    </row>
    <row r="94" spans="1:16" ht="20.149999999999999" hidden="1" customHeight="1" x14ac:dyDescent="0.35">
      <c r="A94" s="171" t="s">
        <v>444</v>
      </c>
      <c r="B94" s="421" t="s">
        <v>1998</v>
      </c>
      <c r="C94" s="421"/>
      <c r="D94" s="421"/>
      <c r="E94" s="421"/>
      <c r="F94" s="421"/>
      <c r="G94" s="421"/>
      <c r="H94" s="421"/>
      <c r="I94" s="421"/>
      <c r="J94" s="421"/>
      <c r="K94" s="421"/>
      <c r="L94" s="421"/>
      <c r="M94" s="421"/>
      <c r="N94" s="421"/>
      <c r="O94" s="13"/>
      <c r="P94" s="5"/>
    </row>
    <row r="95" spans="1:16" ht="20.149999999999999" hidden="1" customHeight="1" x14ac:dyDescent="0.35">
      <c r="A95" s="91" t="s">
        <v>446</v>
      </c>
      <c r="B95" s="421" t="s">
        <v>2151</v>
      </c>
      <c r="C95" s="421"/>
      <c r="D95" s="421"/>
      <c r="E95" s="421"/>
      <c r="F95" s="421"/>
      <c r="G95" s="421"/>
      <c r="H95" s="421"/>
      <c r="I95" s="421"/>
      <c r="J95" s="421"/>
      <c r="K95" s="421"/>
      <c r="L95" s="421"/>
      <c r="M95" s="421"/>
      <c r="N95" s="421"/>
      <c r="O95" s="1" t="s">
        <v>114</v>
      </c>
      <c r="P95" s="53" t="s">
        <v>290</v>
      </c>
    </row>
    <row r="96" spans="1:16" ht="20.149999999999999" hidden="1" customHeight="1" x14ac:dyDescent="0.35">
      <c r="A96" s="171" t="s">
        <v>457</v>
      </c>
      <c r="B96" s="421" t="s">
        <v>566</v>
      </c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21"/>
      <c r="N96" s="421"/>
      <c r="O96" s="13"/>
      <c r="P96" s="5"/>
    </row>
    <row r="97" spans="1:16" ht="20.149999999999999" hidden="1" customHeight="1" x14ac:dyDescent="0.35">
      <c r="A97" s="91" t="s">
        <v>461</v>
      </c>
      <c r="B97" s="421" t="s">
        <v>1682</v>
      </c>
      <c r="C97" s="421"/>
      <c r="D97" s="421"/>
      <c r="E97" s="421"/>
      <c r="F97" s="421"/>
      <c r="G97" s="421"/>
      <c r="H97" s="421"/>
      <c r="I97" s="421"/>
      <c r="J97" s="421"/>
      <c r="K97" s="421"/>
      <c r="L97" s="421"/>
      <c r="M97" s="421"/>
      <c r="N97" s="421"/>
      <c r="O97" s="13"/>
      <c r="P97" s="5"/>
    </row>
    <row r="98" spans="1:16" ht="20.149999999999999" hidden="1" customHeight="1" x14ac:dyDescent="0.35">
      <c r="A98" s="171" t="s">
        <v>467</v>
      </c>
      <c r="B98" s="421" t="s">
        <v>1997</v>
      </c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13"/>
      <c r="P98" s="5"/>
    </row>
    <row r="99" spans="1:16" ht="20.149999999999999" hidden="1" customHeight="1" x14ac:dyDescent="0.35">
      <c r="A99" s="171" t="s">
        <v>468</v>
      </c>
      <c r="B99" s="421" t="s">
        <v>1908</v>
      </c>
      <c r="C99" s="421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1" t="s">
        <v>114</v>
      </c>
      <c r="P99" s="53" t="s">
        <v>290</v>
      </c>
    </row>
    <row r="100" spans="1:16" ht="20.149999999999999" hidden="1" customHeight="1" x14ac:dyDescent="0.35">
      <c r="A100" s="171" t="s">
        <v>471</v>
      </c>
      <c r="B100" s="424" t="s">
        <v>1977</v>
      </c>
      <c r="C100" s="426"/>
      <c r="D100" s="426"/>
      <c r="E100" s="426"/>
      <c r="F100" s="426"/>
      <c r="G100" s="426"/>
      <c r="H100" s="426"/>
      <c r="I100" s="426"/>
      <c r="J100" s="426"/>
      <c r="K100" s="426"/>
      <c r="L100" s="426"/>
      <c r="M100" s="426"/>
      <c r="N100" s="427"/>
      <c r="O100" s="1" t="s">
        <v>1802</v>
      </c>
      <c r="P100" s="53"/>
    </row>
    <row r="101" spans="1:16" ht="20.149999999999999" hidden="1" customHeight="1" x14ac:dyDescent="0.35">
      <c r="A101" s="91" t="s">
        <v>474</v>
      </c>
      <c r="B101" s="421" t="s">
        <v>1930</v>
      </c>
      <c r="C101" s="421"/>
      <c r="D101" s="421"/>
      <c r="E101" s="421"/>
      <c r="F101" s="421"/>
      <c r="G101" s="421"/>
      <c r="H101" s="421"/>
      <c r="I101" s="421"/>
      <c r="J101" s="421"/>
      <c r="K101" s="421"/>
      <c r="L101" s="421"/>
      <c r="M101" s="421"/>
      <c r="N101" s="421"/>
      <c r="O101" s="1" t="s">
        <v>114</v>
      </c>
      <c r="P101" s="53" t="s">
        <v>290</v>
      </c>
    </row>
    <row r="102" spans="1:16" ht="20.149999999999999" hidden="1" customHeight="1" x14ac:dyDescent="0.35">
      <c r="A102" s="91" t="s">
        <v>475</v>
      </c>
      <c r="B102" s="421" t="s">
        <v>1961</v>
      </c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1"/>
      <c r="P102" s="5"/>
    </row>
    <row r="103" spans="1:16" ht="20.149999999999999" hidden="1" customHeight="1" x14ac:dyDescent="0.35">
      <c r="A103" s="91" t="s">
        <v>480</v>
      </c>
      <c r="B103" s="424" t="s">
        <v>679</v>
      </c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4"/>
      <c r="O103" s="1" t="s">
        <v>114</v>
      </c>
      <c r="P103" s="5"/>
    </row>
    <row r="104" spans="1:16" ht="20.149999999999999" hidden="1" customHeight="1" x14ac:dyDescent="0.35">
      <c r="A104" s="91" t="s">
        <v>500</v>
      </c>
      <c r="B104" s="421" t="s">
        <v>501</v>
      </c>
      <c r="C104" s="421"/>
      <c r="D104" s="421"/>
      <c r="E104" s="421"/>
      <c r="F104" s="421"/>
      <c r="G104" s="421"/>
      <c r="H104" s="421"/>
      <c r="I104" s="421"/>
      <c r="J104" s="421"/>
      <c r="K104" s="421"/>
      <c r="L104" s="421"/>
      <c r="M104" s="421"/>
      <c r="N104" s="421"/>
      <c r="O104" s="1"/>
      <c r="P104" s="5"/>
    </row>
    <row r="105" spans="1:16" ht="20.149999999999999" hidden="1" customHeight="1" x14ac:dyDescent="0.35">
      <c r="A105" s="171" t="s">
        <v>504</v>
      </c>
      <c r="B105" s="421" t="s">
        <v>502</v>
      </c>
      <c r="C105" s="421"/>
      <c r="D105" s="421"/>
      <c r="E105" s="421"/>
      <c r="F105" s="421"/>
      <c r="G105" s="421"/>
      <c r="H105" s="421"/>
      <c r="I105" s="421"/>
      <c r="J105" s="421"/>
      <c r="K105" s="421"/>
      <c r="L105" s="421"/>
      <c r="M105" s="421"/>
      <c r="N105" s="421"/>
      <c r="O105" s="1"/>
      <c r="P105" s="5"/>
    </row>
    <row r="106" spans="1:16" ht="20.149999999999999" hidden="1" customHeight="1" x14ac:dyDescent="0.35">
      <c r="A106" s="91" t="s">
        <v>507</v>
      </c>
      <c r="B106" s="421" t="s">
        <v>503</v>
      </c>
      <c r="C106" s="421"/>
      <c r="D106" s="421"/>
      <c r="E106" s="421"/>
      <c r="F106" s="421"/>
      <c r="G106" s="421"/>
      <c r="H106" s="421"/>
      <c r="I106" s="421"/>
      <c r="J106" s="421"/>
      <c r="K106" s="421"/>
      <c r="L106" s="421"/>
      <c r="M106" s="421"/>
      <c r="N106" s="421"/>
      <c r="O106" s="1"/>
      <c r="P106" s="5"/>
    </row>
    <row r="107" spans="1:16" ht="20.149999999999999" hidden="1" customHeight="1" x14ac:dyDescent="0.35">
      <c r="A107" s="91" t="s">
        <v>506</v>
      </c>
      <c r="B107" s="425" t="s">
        <v>505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1">
        <v>83398831</v>
      </c>
      <c r="P107" s="5"/>
    </row>
    <row r="108" spans="1:16" ht="20.149999999999999" hidden="1" customHeight="1" x14ac:dyDescent="0.35">
      <c r="A108" s="91" t="s">
        <v>512</v>
      </c>
      <c r="B108" s="422" t="s">
        <v>1748</v>
      </c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1" t="s">
        <v>114</v>
      </c>
      <c r="P108" s="5"/>
    </row>
    <row r="109" spans="1:16" ht="20.149999999999999" hidden="1" customHeight="1" x14ac:dyDescent="0.35">
      <c r="A109" s="91" t="s">
        <v>515</v>
      </c>
      <c r="B109" s="422" t="s">
        <v>1749</v>
      </c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11" t="s">
        <v>157</v>
      </c>
      <c r="P109" s="5"/>
    </row>
    <row r="110" spans="1:16" ht="20.149999999999999" hidden="1" customHeight="1" x14ac:dyDescent="0.35">
      <c r="A110" s="91" t="s">
        <v>527</v>
      </c>
      <c r="B110" s="422" t="s">
        <v>1750</v>
      </c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1" t="s">
        <v>114</v>
      </c>
      <c r="P110" s="5"/>
    </row>
    <row r="111" spans="1:16" ht="20.149999999999999" hidden="1" customHeight="1" x14ac:dyDescent="0.35">
      <c r="A111" s="91" t="s">
        <v>529</v>
      </c>
      <c r="B111" s="424" t="s">
        <v>528</v>
      </c>
      <c r="C111" s="424"/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  <c r="O111" s="1"/>
      <c r="P111" s="5"/>
    </row>
    <row r="112" spans="1:16" ht="20.149999999999999" hidden="1" customHeight="1" x14ac:dyDescent="0.35">
      <c r="A112" s="91" t="s">
        <v>532</v>
      </c>
      <c r="B112" s="423" t="s">
        <v>1889</v>
      </c>
      <c r="C112" s="42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  <c r="O112" s="1" t="s">
        <v>114</v>
      </c>
      <c r="P112" s="5"/>
    </row>
    <row r="113" spans="1:16" ht="20.149999999999999" hidden="1" customHeight="1" x14ac:dyDescent="0.35">
      <c r="A113" s="59" t="s">
        <v>536</v>
      </c>
      <c r="B113" s="421" t="s">
        <v>1821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132" t="s">
        <v>114</v>
      </c>
      <c r="P113" s="53"/>
    </row>
    <row r="114" spans="1:16" ht="20.149999999999999" hidden="1" customHeight="1" x14ac:dyDescent="0.35">
      <c r="A114" s="91" t="s">
        <v>537</v>
      </c>
      <c r="B114" s="423" t="s">
        <v>1888</v>
      </c>
      <c r="C114" s="424"/>
      <c r="D114" s="424"/>
      <c r="E114" s="424"/>
      <c r="F114" s="424"/>
      <c r="G114" s="424"/>
      <c r="H114" s="424"/>
      <c r="I114" s="424"/>
      <c r="J114" s="424"/>
      <c r="K114" s="424"/>
      <c r="L114" s="424"/>
      <c r="M114" s="424"/>
      <c r="N114" s="424"/>
      <c r="O114" s="1" t="s">
        <v>114</v>
      </c>
      <c r="P114" s="5"/>
    </row>
    <row r="115" spans="1:16" ht="20.149999999999999" hidden="1" customHeight="1" x14ac:dyDescent="0.35">
      <c r="A115" s="222" t="s">
        <v>538</v>
      </c>
      <c r="B115" s="424" t="s">
        <v>1547</v>
      </c>
      <c r="C115" s="424"/>
      <c r="D115" s="424"/>
      <c r="E115" s="424"/>
      <c r="F115" s="424"/>
      <c r="G115" s="424"/>
      <c r="H115" s="424"/>
      <c r="I115" s="424"/>
      <c r="J115" s="424"/>
      <c r="K115" s="424"/>
      <c r="L115" s="424"/>
      <c r="M115" s="424"/>
      <c r="N115" s="424"/>
      <c r="O115" s="1" t="s">
        <v>1802</v>
      </c>
      <c r="P115" s="5"/>
    </row>
    <row r="116" spans="1:16" ht="20.149999999999999" hidden="1" customHeight="1" x14ac:dyDescent="0.35">
      <c r="A116" s="91" t="s">
        <v>542</v>
      </c>
      <c r="B116" s="433" t="s">
        <v>541</v>
      </c>
      <c r="C116" s="434"/>
      <c r="D116" s="434"/>
      <c r="E116" s="434"/>
      <c r="F116" s="434"/>
      <c r="G116" s="434"/>
      <c r="H116" s="434"/>
      <c r="I116" s="434"/>
      <c r="J116" s="434"/>
      <c r="K116" s="434"/>
      <c r="L116" s="434"/>
      <c r="M116" s="434"/>
      <c r="N116" s="435"/>
      <c r="O116" s="1"/>
      <c r="P116" s="5"/>
    </row>
    <row r="117" spans="1:16" ht="20.149999999999999" hidden="1" customHeight="1" x14ac:dyDescent="0.35">
      <c r="A117" s="91" t="s">
        <v>554</v>
      </c>
      <c r="B117" s="424" t="s">
        <v>1548</v>
      </c>
      <c r="C117" s="424"/>
      <c r="D117" s="424"/>
      <c r="E117" s="424"/>
      <c r="F117" s="424"/>
      <c r="G117" s="424"/>
      <c r="H117" s="424"/>
      <c r="I117" s="424"/>
      <c r="J117" s="424"/>
      <c r="K117" s="424"/>
      <c r="L117" s="424"/>
      <c r="M117" s="424"/>
      <c r="N117" s="424"/>
      <c r="O117" s="1"/>
      <c r="P117" s="5"/>
    </row>
    <row r="118" spans="1:16" ht="20.149999999999999" hidden="1" customHeight="1" x14ac:dyDescent="0.35">
      <c r="A118" s="91" t="s">
        <v>557</v>
      </c>
      <c r="B118" s="424" t="s">
        <v>1549</v>
      </c>
      <c r="C118" s="424"/>
      <c r="D118" s="424"/>
      <c r="E118" s="424"/>
      <c r="F118" s="424"/>
      <c r="G118" s="424"/>
      <c r="H118" s="424"/>
      <c r="I118" s="424"/>
      <c r="J118" s="424"/>
      <c r="K118" s="424"/>
      <c r="L118" s="424"/>
      <c r="M118" s="424"/>
      <c r="N118" s="424"/>
      <c r="O118" s="1" t="s">
        <v>1802</v>
      </c>
      <c r="P118" s="5"/>
    </row>
    <row r="119" spans="1:16" ht="20.149999999999999" hidden="1" customHeight="1" x14ac:dyDescent="0.35">
      <c r="A119" s="91" t="s">
        <v>558</v>
      </c>
      <c r="B119" s="424" t="s">
        <v>1551</v>
      </c>
      <c r="C119" s="424"/>
      <c r="D119" s="424"/>
      <c r="E119" s="424"/>
      <c r="F119" s="424"/>
      <c r="G119" s="424"/>
      <c r="H119" s="424"/>
      <c r="I119" s="424"/>
      <c r="J119" s="424"/>
      <c r="K119" s="424"/>
      <c r="L119" s="424"/>
      <c r="M119" s="424"/>
      <c r="N119" s="424"/>
      <c r="O119" s="1" t="s">
        <v>1802</v>
      </c>
      <c r="P119" s="5"/>
    </row>
    <row r="120" spans="1:16" ht="20.149999999999999" hidden="1" customHeight="1" x14ac:dyDescent="0.35">
      <c r="A120" s="91" t="s">
        <v>561</v>
      </c>
      <c r="B120" s="424" t="s">
        <v>562</v>
      </c>
      <c r="C120" s="424"/>
      <c r="D120" s="424"/>
      <c r="E120" s="424"/>
      <c r="F120" s="424"/>
      <c r="G120" s="424"/>
      <c r="H120" s="424"/>
      <c r="I120" s="424"/>
      <c r="J120" s="424"/>
      <c r="K120" s="424"/>
      <c r="L120" s="424"/>
      <c r="M120" s="424"/>
      <c r="N120" s="424"/>
      <c r="O120" s="1"/>
      <c r="P120" s="5"/>
    </row>
    <row r="121" spans="1:16" ht="20.149999999999999" hidden="1" customHeight="1" x14ac:dyDescent="0.35">
      <c r="A121" s="91" t="s">
        <v>563</v>
      </c>
      <c r="B121" s="424" t="s">
        <v>564</v>
      </c>
      <c r="C121" s="424"/>
      <c r="D121" s="424"/>
      <c r="E121" s="424"/>
      <c r="F121" s="424"/>
      <c r="G121" s="424"/>
      <c r="H121" s="424"/>
      <c r="I121" s="424"/>
      <c r="J121" s="424"/>
      <c r="K121" s="424"/>
      <c r="L121" s="424"/>
      <c r="M121" s="424"/>
      <c r="N121" s="424"/>
      <c r="O121" s="1"/>
      <c r="P121" s="5"/>
    </row>
    <row r="122" spans="1:16" ht="20.149999999999999" hidden="1" customHeight="1" x14ac:dyDescent="0.35">
      <c r="A122" s="91" t="s">
        <v>1556</v>
      </c>
      <c r="B122" s="424" t="s">
        <v>1557</v>
      </c>
      <c r="C122" s="424"/>
      <c r="D122" s="424"/>
      <c r="E122" s="424"/>
      <c r="F122" s="424"/>
      <c r="G122" s="424"/>
      <c r="H122" s="424"/>
      <c r="I122" s="424"/>
      <c r="J122" s="424"/>
      <c r="K122" s="424"/>
      <c r="L122" s="424"/>
      <c r="M122" s="424"/>
      <c r="N122" s="424"/>
      <c r="O122" s="1" t="s">
        <v>114</v>
      </c>
      <c r="P122" s="5"/>
    </row>
    <row r="123" spans="1:16" ht="20.149999999999999" hidden="1" customHeight="1" x14ac:dyDescent="0.35">
      <c r="A123" s="91" t="s">
        <v>570</v>
      </c>
      <c r="B123" s="421" t="s">
        <v>1389</v>
      </c>
      <c r="C123" s="421"/>
      <c r="D123" s="421"/>
      <c r="E123" s="421"/>
      <c r="F123" s="421"/>
      <c r="G123" s="421"/>
      <c r="H123" s="421"/>
      <c r="I123" s="421"/>
      <c r="J123" s="421"/>
      <c r="K123" s="421"/>
      <c r="L123" s="421"/>
      <c r="M123" s="421"/>
      <c r="N123" s="421"/>
      <c r="O123" s="1" t="s">
        <v>114</v>
      </c>
      <c r="P123" s="5"/>
    </row>
    <row r="124" spans="1:16" ht="20.149999999999999" hidden="1" customHeight="1" x14ac:dyDescent="0.35">
      <c r="A124" s="91" t="s">
        <v>571</v>
      </c>
      <c r="B124" s="424" t="s">
        <v>1673</v>
      </c>
      <c r="C124" s="424"/>
      <c r="D124" s="424"/>
      <c r="E124" s="424"/>
      <c r="F124" s="424"/>
      <c r="G124" s="424"/>
      <c r="H124" s="424"/>
      <c r="I124" s="424"/>
      <c r="J124" s="424"/>
      <c r="K124" s="424"/>
      <c r="L124" s="424"/>
      <c r="M124" s="424"/>
      <c r="N124" s="424"/>
      <c r="O124" s="1" t="s">
        <v>114</v>
      </c>
      <c r="P124" s="5"/>
    </row>
    <row r="125" spans="1:16" ht="20.149999999999999" hidden="1" customHeight="1" x14ac:dyDescent="0.35">
      <c r="A125" s="91" t="s">
        <v>574</v>
      </c>
      <c r="B125" s="421" t="s">
        <v>708</v>
      </c>
      <c r="C125" s="421"/>
      <c r="D125" s="421"/>
      <c r="E125" s="421"/>
      <c r="F125" s="421"/>
      <c r="G125" s="421"/>
      <c r="H125" s="421"/>
      <c r="I125" s="421"/>
      <c r="J125" s="421"/>
      <c r="K125" s="421"/>
      <c r="L125" s="421"/>
      <c r="M125" s="421"/>
      <c r="N125" s="421"/>
      <c r="O125" s="1"/>
      <c r="P125" s="5"/>
    </row>
    <row r="126" spans="1:16" ht="20.149999999999999" hidden="1" customHeight="1" x14ac:dyDescent="0.35">
      <c r="A126" s="91" t="s">
        <v>577</v>
      </c>
      <c r="B126" s="421" t="s">
        <v>2173</v>
      </c>
      <c r="C126" s="421"/>
      <c r="D126" s="421"/>
      <c r="E126" s="421"/>
      <c r="F126" s="421"/>
      <c r="G126" s="421"/>
      <c r="H126" s="421"/>
      <c r="I126" s="421"/>
      <c r="J126" s="421"/>
      <c r="K126" s="421"/>
      <c r="L126" s="421"/>
      <c r="M126" s="421"/>
      <c r="N126" s="421"/>
      <c r="O126" s="1"/>
      <c r="P126" s="5"/>
    </row>
    <row r="127" spans="1:16" ht="20.149999999999999" hidden="1" customHeight="1" x14ac:dyDescent="0.35">
      <c r="A127" s="91" t="s">
        <v>580</v>
      </c>
      <c r="B127" s="424" t="s">
        <v>2027</v>
      </c>
      <c r="C127" s="424"/>
      <c r="D127" s="424"/>
      <c r="E127" s="424"/>
      <c r="F127" s="424"/>
      <c r="G127" s="424"/>
      <c r="H127" s="424"/>
      <c r="I127" s="424"/>
      <c r="J127" s="424"/>
      <c r="K127" s="424"/>
      <c r="L127" s="424"/>
      <c r="M127" s="424"/>
      <c r="N127" s="424"/>
      <c r="O127" s="1" t="s">
        <v>1802</v>
      </c>
      <c r="P127" s="5"/>
    </row>
    <row r="128" spans="1:16" ht="20.149999999999999" hidden="1" customHeight="1" x14ac:dyDescent="0.35">
      <c r="A128" s="91" t="s">
        <v>592</v>
      </c>
      <c r="B128" s="421" t="s">
        <v>593</v>
      </c>
      <c r="C128" s="421"/>
      <c r="D128" s="421"/>
      <c r="E128" s="421"/>
      <c r="F128" s="421"/>
      <c r="G128" s="421"/>
      <c r="H128" s="421"/>
      <c r="I128" s="421"/>
      <c r="J128" s="421"/>
      <c r="K128" s="421"/>
      <c r="L128" s="421"/>
      <c r="M128" s="421"/>
      <c r="N128" s="421"/>
      <c r="O128" s="1"/>
      <c r="P128" s="5"/>
    </row>
    <row r="129" spans="1:16" ht="20.149999999999999" hidden="1" customHeight="1" x14ac:dyDescent="0.35">
      <c r="A129" s="91" t="s">
        <v>597</v>
      </c>
      <c r="B129" s="421" t="s">
        <v>598</v>
      </c>
      <c r="C129" s="421"/>
      <c r="D129" s="421"/>
      <c r="E129" s="421"/>
      <c r="F129" s="421"/>
      <c r="G129" s="421"/>
      <c r="H129" s="421"/>
      <c r="I129" s="421"/>
      <c r="J129" s="421"/>
      <c r="K129" s="421"/>
      <c r="L129" s="421"/>
      <c r="M129" s="421"/>
      <c r="N129" s="421"/>
      <c r="O129" s="1"/>
      <c r="P129" s="5"/>
    </row>
    <row r="130" spans="1:16" ht="20.149999999999999" hidden="1" customHeight="1" x14ac:dyDescent="0.35">
      <c r="A130" s="91" t="s">
        <v>599</v>
      </c>
      <c r="B130" s="430" t="s">
        <v>600</v>
      </c>
      <c r="C130" s="431"/>
      <c r="D130" s="431"/>
      <c r="E130" s="431"/>
      <c r="F130" s="431"/>
      <c r="G130" s="431"/>
      <c r="H130" s="431"/>
      <c r="I130" s="431"/>
      <c r="J130" s="431"/>
      <c r="K130" s="431"/>
      <c r="L130" s="431"/>
      <c r="M130" s="431"/>
      <c r="N130" s="432"/>
      <c r="O130" s="1"/>
      <c r="P130" s="5"/>
    </row>
    <row r="131" spans="1:16" ht="20.149999999999999" hidden="1" customHeight="1" x14ac:dyDescent="0.35">
      <c r="A131" s="91" t="s">
        <v>602</v>
      </c>
      <c r="B131" s="421" t="s">
        <v>1391</v>
      </c>
      <c r="C131" s="421"/>
      <c r="D131" s="421"/>
      <c r="E131" s="421"/>
      <c r="F131" s="421"/>
      <c r="G131" s="421"/>
      <c r="H131" s="421"/>
      <c r="I131" s="421"/>
      <c r="J131" s="421"/>
      <c r="K131" s="421"/>
      <c r="L131" s="421"/>
      <c r="M131" s="421"/>
      <c r="N131" s="421"/>
      <c r="O131" s="1"/>
      <c r="P131" s="5"/>
    </row>
    <row r="132" spans="1:16" ht="20.149999999999999" hidden="1" customHeight="1" x14ac:dyDescent="0.35">
      <c r="A132" s="91" t="s">
        <v>603</v>
      </c>
      <c r="B132" s="421" t="s">
        <v>606</v>
      </c>
      <c r="C132" s="421"/>
      <c r="D132" s="421"/>
      <c r="E132" s="421"/>
      <c r="F132" s="421"/>
      <c r="G132" s="421"/>
      <c r="H132" s="421"/>
      <c r="I132" s="421"/>
      <c r="J132" s="421"/>
      <c r="K132" s="421"/>
      <c r="L132" s="421"/>
      <c r="M132" s="421"/>
      <c r="N132" s="421"/>
      <c r="O132" s="1" t="s">
        <v>114</v>
      </c>
      <c r="P132" s="5"/>
    </row>
    <row r="133" spans="1:16" ht="20.149999999999999" hidden="1" customHeight="1" x14ac:dyDescent="0.35">
      <c r="A133" s="91" t="s">
        <v>604</v>
      </c>
      <c r="B133" s="421" t="s">
        <v>605</v>
      </c>
      <c r="C133" s="421"/>
      <c r="D133" s="421"/>
      <c r="E133" s="421"/>
      <c r="F133" s="421"/>
      <c r="G133" s="421"/>
      <c r="H133" s="421"/>
      <c r="I133" s="421"/>
      <c r="J133" s="421"/>
      <c r="K133" s="421"/>
      <c r="L133" s="421"/>
      <c r="M133" s="421"/>
      <c r="N133" s="421"/>
      <c r="O133" s="1" t="s">
        <v>114</v>
      </c>
      <c r="P133" s="5"/>
    </row>
    <row r="134" spans="1:16" ht="20.149999999999999" hidden="1" customHeight="1" x14ac:dyDescent="0.35">
      <c r="A134" s="91" t="s">
        <v>608</v>
      </c>
      <c r="B134" s="421" t="s">
        <v>1701</v>
      </c>
      <c r="C134" s="421"/>
      <c r="D134" s="421"/>
      <c r="E134" s="421"/>
      <c r="F134" s="421"/>
      <c r="G134" s="421"/>
      <c r="H134" s="421"/>
      <c r="I134" s="421"/>
      <c r="J134" s="421"/>
      <c r="K134" s="421"/>
      <c r="L134" s="421"/>
      <c r="M134" s="421"/>
      <c r="N134" s="421"/>
      <c r="O134" s="1" t="s">
        <v>114</v>
      </c>
      <c r="P134" s="5"/>
    </row>
    <row r="135" spans="1:16" ht="20.149999999999999" hidden="1" customHeight="1" x14ac:dyDescent="0.35">
      <c r="A135" s="91" t="s">
        <v>614</v>
      </c>
      <c r="B135" s="421" t="s">
        <v>615</v>
      </c>
      <c r="C135" s="421"/>
      <c r="D135" s="421"/>
      <c r="E135" s="421"/>
      <c r="F135" s="421"/>
      <c r="G135" s="421"/>
      <c r="H135" s="421"/>
      <c r="I135" s="421"/>
      <c r="J135" s="421"/>
      <c r="K135" s="421"/>
      <c r="L135" s="421"/>
      <c r="M135" s="421"/>
      <c r="N135" s="421"/>
      <c r="O135" s="1" t="s">
        <v>114</v>
      </c>
      <c r="P135" s="5"/>
    </row>
    <row r="136" spans="1:16" ht="20.149999999999999" hidden="1" customHeight="1" x14ac:dyDescent="0.35">
      <c r="A136" s="1" t="s">
        <v>616</v>
      </c>
      <c r="B136" s="1" t="s">
        <v>617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"/>
    </row>
    <row r="137" spans="1:16" ht="20.149999999999999" hidden="1" customHeight="1" x14ac:dyDescent="0.35">
      <c r="A137" s="91" t="s">
        <v>618</v>
      </c>
      <c r="B137" s="424" t="s">
        <v>1713</v>
      </c>
      <c r="C137" s="424"/>
      <c r="D137" s="424"/>
      <c r="E137" s="424"/>
      <c r="F137" s="424"/>
      <c r="G137" s="424"/>
      <c r="H137" s="424"/>
      <c r="I137" s="424"/>
      <c r="J137" s="424"/>
      <c r="K137" s="424"/>
      <c r="L137" s="424"/>
      <c r="M137" s="424"/>
      <c r="N137" s="424"/>
      <c r="O137" s="13" t="s">
        <v>113</v>
      </c>
      <c r="P137" s="5"/>
    </row>
    <row r="138" spans="1:16" ht="20.149999999999999" hidden="1" customHeight="1" x14ac:dyDescent="0.35">
      <c r="A138" s="91" t="s">
        <v>619</v>
      </c>
      <c r="B138" s="421" t="s">
        <v>620</v>
      </c>
      <c r="C138" s="421"/>
      <c r="D138" s="421"/>
      <c r="E138" s="421"/>
      <c r="F138" s="421"/>
      <c r="G138" s="421"/>
      <c r="H138" s="421"/>
      <c r="I138" s="421"/>
      <c r="J138" s="421"/>
      <c r="K138" s="421"/>
      <c r="L138" s="421"/>
      <c r="M138" s="421"/>
      <c r="N138" s="421"/>
      <c r="O138" s="1" t="s">
        <v>114</v>
      </c>
      <c r="P138" s="5"/>
    </row>
    <row r="139" spans="1:16" ht="20.149999999999999" hidden="1" customHeight="1" x14ac:dyDescent="0.35">
      <c r="A139" s="171" t="s">
        <v>621</v>
      </c>
      <c r="B139" s="421" t="s">
        <v>1702</v>
      </c>
      <c r="C139" s="421"/>
      <c r="D139" s="421"/>
      <c r="E139" s="421"/>
      <c r="F139" s="421"/>
      <c r="G139" s="421"/>
      <c r="H139" s="421"/>
      <c r="I139" s="421"/>
      <c r="J139" s="421"/>
      <c r="K139" s="421"/>
      <c r="L139" s="421"/>
      <c r="M139" s="421"/>
      <c r="N139" s="421"/>
      <c r="O139" s="1" t="s">
        <v>114</v>
      </c>
      <c r="P139" s="5"/>
    </row>
    <row r="140" spans="1:16" ht="20.149999999999999" hidden="1" customHeight="1" x14ac:dyDescent="0.35">
      <c r="A140" s="171" t="s">
        <v>624</v>
      </c>
      <c r="B140" s="1" t="s">
        <v>625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5"/>
    </row>
    <row r="141" spans="1:16" ht="20.149999999999999" hidden="1" customHeight="1" x14ac:dyDescent="0.35">
      <c r="A141" s="171" t="s">
        <v>642</v>
      </c>
      <c r="B141" s="421" t="s">
        <v>643</v>
      </c>
      <c r="C141" s="421"/>
      <c r="D141" s="421"/>
      <c r="E141" s="421"/>
      <c r="F141" s="421"/>
      <c r="G141" s="421"/>
      <c r="H141" s="421"/>
      <c r="I141" s="421"/>
      <c r="J141" s="421"/>
      <c r="K141" s="421"/>
      <c r="L141" s="421"/>
      <c r="M141" s="421"/>
      <c r="N141" s="421"/>
      <c r="O141" s="1"/>
      <c r="P141" s="5"/>
    </row>
    <row r="142" spans="1:16" ht="20.149999999999999" hidden="1" customHeight="1" x14ac:dyDescent="0.35">
      <c r="A142" s="171" t="s">
        <v>644</v>
      </c>
      <c r="B142" s="421" t="s">
        <v>1677</v>
      </c>
      <c r="C142" s="421"/>
      <c r="D142" s="421"/>
      <c r="E142" s="421"/>
      <c r="F142" s="421"/>
      <c r="G142" s="421"/>
      <c r="H142" s="421"/>
      <c r="I142" s="421"/>
      <c r="J142" s="421"/>
      <c r="K142" s="421"/>
      <c r="L142" s="421"/>
      <c r="M142" s="421"/>
      <c r="N142" s="421"/>
      <c r="O142" s="1"/>
      <c r="P142" s="5"/>
    </row>
    <row r="143" spans="1:16" ht="20.149999999999999" hidden="1" customHeight="1" x14ac:dyDescent="0.35">
      <c r="A143" s="171" t="s">
        <v>647</v>
      </c>
      <c r="B143" s="421" t="s">
        <v>648</v>
      </c>
      <c r="C143" s="421"/>
      <c r="D143" s="421"/>
      <c r="E143" s="421"/>
      <c r="F143" s="421"/>
      <c r="G143" s="421"/>
      <c r="H143" s="421"/>
      <c r="I143" s="421"/>
      <c r="J143" s="421"/>
      <c r="K143" s="421"/>
      <c r="L143" s="421"/>
      <c r="M143" s="421"/>
      <c r="N143" s="421"/>
      <c r="O143" s="1"/>
      <c r="P143" s="5"/>
    </row>
    <row r="144" spans="1:16" ht="20.149999999999999" hidden="1" customHeight="1" x14ac:dyDescent="0.35">
      <c r="A144" s="91" t="s">
        <v>669</v>
      </c>
      <c r="B144" s="424" t="s">
        <v>1685</v>
      </c>
      <c r="C144" s="424"/>
      <c r="D144" s="424"/>
      <c r="E144" s="424"/>
      <c r="F144" s="424"/>
      <c r="G144" s="424"/>
      <c r="H144" s="424"/>
      <c r="I144" s="424"/>
      <c r="J144" s="424"/>
      <c r="K144" s="424"/>
      <c r="L144" s="424"/>
      <c r="M144" s="424"/>
      <c r="N144" s="424"/>
      <c r="O144" s="1"/>
      <c r="P144" s="5"/>
    </row>
    <row r="145" spans="1:16" ht="20.149999999999999" hidden="1" customHeight="1" x14ac:dyDescent="0.35">
      <c r="A145" s="91" t="s">
        <v>670</v>
      </c>
      <c r="B145" s="424" t="s">
        <v>1728</v>
      </c>
      <c r="C145" s="424"/>
      <c r="D145" s="424"/>
      <c r="E145" s="424"/>
      <c r="F145" s="424"/>
      <c r="G145" s="424"/>
      <c r="H145" s="424"/>
      <c r="I145" s="424"/>
      <c r="J145" s="424"/>
      <c r="K145" s="424"/>
      <c r="L145" s="424"/>
      <c r="M145" s="424"/>
      <c r="N145" s="424"/>
      <c r="O145" s="1"/>
      <c r="P145" s="5"/>
    </row>
    <row r="146" spans="1:16" ht="20.149999999999999" hidden="1" customHeight="1" x14ac:dyDescent="0.35">
      <c r="A146" s="91" t="s">
        <v>676</v>
      </c>
      <c r="B146" s="421" t="s">
        <v>1753</v>
      </c>
      <c r="C146" s="421"/>
      <c r="D146" s="421"/>
      <c r="E146" s="421"/>
      <c r="F146" s="421"/>
      <c r="G146" s="421"/>
      <c r="H146" s="421"/>
      <c r="I146" s="421"/>
      <c r="J146" s="421"/>
      <c r="K146" s="421"/>
      <c r="L146" s="421"/>
      <c r="M146" s="421"/>
      <c r="N146" s="421"/>
      <c r="O146" s="1"/>
      <c r="P146" s="5"/>
    </row>
    <row r="147" spans="1:16" ht="20.149999999999999" hidden="1" customHeight="1" x14ac:dyDescent="0.35">
      <c r="A147" s="91" t="s">
        <v>688</v>
      </c>
      <c r="B147" s="421" t="s">
        <v>1745</v>
      </c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1"/>
      <c r="P147" s="5"/>
    </row>
    <row r="148" spans="1:16" ht="20.149999999999999" hidden="1" customHeight="1" x14ac:dyDescent="0.35">
      <c r="A148" s="91" t="s">
        <v>691</v>
      </c>
      <c r="B148" s="429" t="s">
        <v>1787</v>
      </c>
      <c r="C148" s="429"/>
      <c r="D148" s="429"/>
      <c r="E148" s="429"/>
      <c r="F148" s="429"/>
      <c r="G148" s="429"/>
      <c r="H148" s="429"/>
      <c r="I148" s="429"/>
      <c r="J148" s="429"/>
      <c r="K148" s="429"/>
      <c r="L148" s="429"/>
      <c r="M148" s="429"/>
      <c r="N148" s="429"/>
      <c r="O148" s="1"/>
      <c r="P148" s="5"/>
    </row>
    <row r="149" spans="1:16" ht="20.149999999999999" hidden="1" customHeight="1" x14ac:dyDescent="0.35">
      <c r="A149" s="91" t="s">
        <v>695</v>
      </c>
      <c r="B149" s="424" t="s">
        <v>1712</v>
      </c>
      <c r="C149" s="424"/>
      <c r="D149" s="424"/>
      <c r="E149" s="424"/>
      <c r="F149" s="424"/>
      <c r="G149" s="424"/>
      <c r="H149" s="424"/>
      <c r="I149" s="424"/>
      <c r="J149" s="424"/>
      <c r="K149" s="424"/>
      <c r="L149" s="424"/>
      <c r="M149" s="424"/>
      <c r="N149" s="424"/>
      <c r="O149" s="1" t="s">
        <v>1802</v>
      </c>
      <c r="P149" s="5"/>
    </row>
    <row r="150" spans="1:16" ht="20.149999999999999" hidden="1" customHeight="1" x14ac:dyDescent="0.35">
      <c r="A150" s="171" t="s">
        <v>696</v>
      </c>
      <c r="B150" s="421" t="s">
        <v>1902</v>
      </c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  <c r="O150" s="1" t="s">
        <v>114</v>
      </c>
      <c r="P150" s="5"/>
    </row>
    <row r="151" spans="1:16" ht="20.149999999999999" hidden="1" customHeight="1" x14ac:dyDescent="0.35">
      <c r="A151" s="171" t="s">
        <v>697</v>
      </c>
      <c r="B151" s="429" t="s">
        <v>699</v>
      </c>
      <c r="C151" s="429"/>
      <c r="D151" s="429"/>
      <c r="E151" s="429"/>
      <c r="F151" s="429"/>
      <c r="G151" s="429"/>
      <c r="H151" s="429"/>
      <c r="I151" s="429"/>
      <c r="J151" s="429"/>
      <c r="K151" s="429"/>
      <c r="L151" s="429"/>
      <c r="M151" s="429"/>
      <c r="N151" s="429"/>
      <c r="O151" s="1"/>
      <c r="P151" s="5"/>
    </row>
    <row r="152" spans="1:16" ht="20.149999999999999" hidden="1" customHeight="1" x14ac:dyDescent="0.35">
      <c r="A152" s="171" t="s">
        <v>707</v>
      </c>
      <c r="B152" s="421" t="s">
        <v>713</v>
      </c>
      <c r="C152" s="421"/>
      <c r="D152" s="421"/>
      <c r="E152" s="421"/>
      <c r="F152" s="421"/>
      <c r="G152" s="421"/>
      <c r="H152" s="421"/>
      <c r="I152" s="421"/>
      <c r="J152" s="421"/>
      <c r="K152" s="421"/>
      <c r="L152" s="421"/>
      <c r="M152" s="421"/>
      <c r="N152" s="421"/>
      <c r="O152" s="1" t="s">
        <v>114</v>
      </c>
      <c r="P152" s="5"/>
    </row>
    <row r="153" spans="1:16" ht="20.149999999999999" hidden="1" customHeight="1" x14ac:dyDescent="0.35">
      <c r="A153" s="91" t="s">
        <v>717</v>
      </c>
      <c r="B153" s="428" t="s">
        <v>1552</v>
      </c>
      <c r="C153" s="428"/>
      <c r="D153" s="428"/>
      <c r="E153" s="428"/>
      <c r="F153" s="428"/>
      <c r="G153" s="428"/>
      <c r="H153" s="428"/>
      <c r="I153" s="428"/>
      <c r="J153" s="428"/>
      <c r="K153" s="428"/>
      <c r="L153" s="428"/>
      <c r="M153" s="428"/>
      <c r="N153" s="428"/>
      <c r="O153" s="1" t="s">
        <v>1802</v>
      </c>
      <c r="P153" s="5"/>
    </row>
    <row r="154" spans="1:16" ht="20.149999999999999" hidden="1" customHeight="1" x14ac:dyDescent="0.35">
      <c r="A154" s="91" t="s">
        <v>1073</v>
      </c>
      <c r="B154" s="421" t="s">
        <v>1933</v>
      </c>
      <c r="C154" s="421"/>
      <c r="D154" s="421"/>
      <c r="E154" s="421"/>
      <c r="F154" s="421"/>
      <c r="G154" s="421"/>
      <c r="H154" s="421"/>
      <c r="I154" s="421"/>
      <c r="J154" s="421"/>
      <c r="K154" s="421"/>
      <c r="L154" s="421"/>
      <c r="M154" s="421"/>
      <c r="N154" s="421"/>
      <c r="O154" s="1" t="s">
        <v>114</v>
      </c>
      <c r="P154" s="5"/>
    </row>
    <row r="155" spans="1:16" ht="20.149999999999999" hidden="1" customHeight="1" x14ac:dyDescent="0.35">
      <c r="A155" s="91" t="s">
        <v>1077</v>
      </c>
      <c r="B155" s="421" t="s">
        <v>1719</v>
      </c>
      <c r="C155" s="421"/>
      <c r="D155" s="421"/>
      <c r="E155" s="421"/>
      <c r="F155" s="421"/>
      <c r="G155" s="421"/>
      <c r="H155" s="421"/>
      <c r="I155" s="421"/>
      <c r="J155" s="421"/>
      <c r="K155" s="421"/>
      <c r="L155" s="421"/>
      <c r="M155" s="421"/>
      <c r="N155" s="421"/>
      <c r="O155" s="1"/>
      <c r="P155" s="5"/>
    </row>
    <row r="156" spans="1:16" ht="20.149999999999999" hidden="1" customHeight="1" x14ac:dyDescent="0.35">
      <c r="A156" s="91" t="s">
        <v>1081</v>
      </c>
      <c r="B156" s="421" t="s">
        <v>2107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1" t="s">
        <v>114</v>
      </c>
      <c r="P156" s="5"/>
    </row>
    <row r="157" spans="1:16" ht="20.149999999999999" hidden="1" customHeight="1" x14ac:dyDescent="0.35">
      <c r="A157" s="91" t="s">
        <v>1082</v>
      </c>
      <c r="B157" s="421" t="s">
        <v>1083</v>
      </c>
      <c r="C157" s="421"/>
      <c r="D157" s="421"/>
      <c r="E157" s="421"/>
      <c r="F157" s="421"/>
      <c r="G157" s="421"/>
      <c r="H157" s="421"/>
      <c r="I157" s="421"/>
      <c r="J157" s="421"/>
      <c r="K157" s="421"/>
      <c r="L157" s="421"/>
      <c r="M157" s="421"/>
      <c r="N157" s="421"/>
      <c r="O157" s="1"/>
      <c r="P157" s="5"/>
    </row>
    <row r="158" spans="1:16" ht="20" hidden="1" customHeight="1" x14ac:dyDescent="0.35">
      <c r="A158" s="91" t="s">
        <v>1084</v>
      </c>
      <c r="B158" s="424" t="s">
        <v>1694</v>
      </c>
      <c r="C158" s="424"/>
      <c r="D158" s="424"/>
      <c r="E158" s="424"/>
      <c r="F158" s="424"/>
      <c r="G158" s="424"/>
      <c r="H158" s="424"/>
      <c r="I158" s="424"/>
      <c r="J158" s="424"/>
      <c r="K158" s="424"/>
      <c r="L158" s="424"/>
      <c r="M158" s="424"/>
      <c r="N158" s="424"/>
      <c r="O158" s="1" t="s">
        <v>1802</v>
      </c>
      <c r="P158" s="5"/>
    </row>
    <row r="159" spans="1:16" ht="20" hidden="1" customHeight="1" x14ac:dyDescent="0.35">
      <c r="A159" s="91" t="s">
        <v>1091</v>
      </c>
      <c r="B159" s="421" t="s">
        <v>1704</v>
      </c>
      <c r="C159" s="421"/>
      <c r="D159" s="421"/>
      <c r="E159" s="421"/>
      <c r="F159" s="421"/>
      <c r="G159" s="421"/>
      <c r="H159" s="421"/>
      <c r="I159" s="421"/>
      <c r="J159" s="421"/>
      <c r="K159" s="421"/>
      <c r="L159" s="421"/>
      <c r="M159" s="421"/>
      <c r="N159" s="421"/>
      <c r="O159" s="1"/>
      <c r="P159" s="5"/>
    </row>
    <row r="160" spans="1:16" ht="20" hidden="1" customHeight="1" x14ac:dyDescent="0.35">
      <c r="A160" s="91" t="s">
        <v>1126</v>
      </c>
      <c r="B160" s="424" t="s">
        <v>1732</v>
      </c>
      <c r="C160" s="424"/>
      <c r="D160" s="424"/>
      <c r="E160" s="424"/>
      <c r="F160" s="424"/>
      <c r="G160" s="424"/>
      <c r="H160" s="424"/>
      <c r="I160" s="424"/>
      <c r="J160" s="424"/>
      <c r="K160" s="424"/>
      <c r="L160" s="424"/>
      <c r="M160" s="424"/>
      <c r="N160" s="424"/>
      <c r="O160" s="1" t="s">
        <v>1802</v>
      </c>
      <c r="P160" s="5"/>
    </row>
    <row r="161" spans="1:16" ht="20" hidden="1" customHeight="1" x14ac:dyDescent="0.35">
      <c r="A161" s="91" t="s">
        <v>1127</v>
      </c>
      <c r="B161" s="421" t="s">
        <v>1146</v>
      </c>
      <c r="C161" s="421"/>
      <c r="D161" s="421"/>
      <c r="E161" s="421"/>
      <c r="F161" s="421"/>
      <c r="G161" s="421"/>
      <c r="H161" s="421"/>
      <c r="I161" s="421"/>
      <c r="J161" s="421"/>
      <c r="K161" s="421"/>
      <c r="L161" s="421"/>
      <c r="M161" s="421"/>
      <c r="N161" s="421"/>
      <c r="O161" s="1"/>
      <c r="P161" s="5"/>
    </row>
    <row r="162" spans="1:16" ht="20" hidden="1" customHeight="1" x14ac:dyDescent="0.35">
      <c r="A162" s="91" t="s">
        <v>1131</v>
      </c>
      <c r="B162" s="421" t="s">
        <v>2224</v>
      </c>
      <c r="C162" s="421"/>
      <c r="D162" s="421"/>
      <c r="E162" s="421"/>
      <c r="F162" s="421"/>
      <c r="G162" s="421"/>
      <c r="H162" s="421"/>
      <c r="I162" s="421"/>
      <c r="J162" s="421"/>
      <c r="K162" s="421"/>
      <c r="L162" s="421"/>
      <c r="M162" s="421"/>
      <c r="N162" s="421"/>
      <c r="O162" s="1"/>
      <c r="P162" s="5"/>
    </row>
    <row r="163" spans="1:16" ht="20" hidden="1" customHeight="1" x14ac:dyDescent="0.35">
      <c r="A163" s="91" t="s">
        <v>1140</v>
      </c>
      <c r="B163" s="421" t="s">
        <v>1141</v>
      </c>
      <c r="C163" s="421"/>
      <c r="D163" s="421"/>
      <c r="E163" s="421"/>
      <c r="F163" s="421"/>
      <c r="G163" s="421"/>
      <c r="H163" s="421"/>
      <c r="I163" s="421"/>
      <c r="J163" s="421"/>
      <c r="K163" s="421"/>
      <c r="L163" s="421"/>
      <c r="M163" s="421"/>
      <c r="N163" s="421"/>
      <c r="O163" s="1"/>
      <c r="P163" s="5"/>
    </row>
    <row r="164" spans="1:16" ht="20" hidden="1" customHeight="1" x14ac:dyDescent="0.35">
      <c r="A164" s="91" t="s">
        <v>1145</v>
      </c>
      <c r="B164" s="421" t="s">
        <v>1934</v>
      </c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21"/>
      <c r="N164" s="421"/>
      <c r="O164" s="1" t="s">
        <v>114</v>
      </c>
      <c r="P164" s="5"/>
    </row>
    <row r="165" spans="1:16" ht="20" hidden="1" customHeight="1" x14ac:dyDescent="0.35">
      <c r="A165" s="91" t="s">
        <v>1147</v>
      </c>
      <c r="B165" s="421" t="s">
        <v>1148</v>
      </c>
      <c r="C165" s="421"/>
      <c r="D165" s="421"/>
      <c r="E165" s="421"/>
      <c r="F165" s="421"/>
      <c r="G165" s="421"/>
      <c r="H165" s="421"/>
      <c r="I165" s="421"/>
      <c r="J165" s="421"/>
      <c r="K165" s="421"/>
      <c r="L165" s="421"/>
      <c r="M165" s="421"/>
      <c r="N165" s="421"/>
      <c r="O165" s="1"/>
      <c r="P165" s="5"/>
    </row>
    <row r="166" spans="1:16" ht="20" hidden="1" customHeight="1" x14ac:dyDescent="0.35">
      <c r="A166" s="171" t="s">
        <v>1149</v>
      </c>
      <c r="B166" s="421" t="s">
        <v>1316</v>
      </c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421"/>
      <c r="N166" s="421"/>
      <c r="O166" s="1" t="s">
        <v>114</v>
      </c>
      <c r="P166" s="53" t="s">
        <v>290</v>
      </c>
    </row>
    <row r="167" spans="1:16" ht="20" hidden="1" customHeight="1" x14ac:dyDescent="0.35">
      <c r="A167" s="91" t="s">
        <v>1156</v>
      </c>
      <c r="B167" s="425" t="s">
        <v>1512</v>
      </c>
      <c r="C167" s="421"/>
      <c r="D167" s="421"/>
      <c r="E167" s="421"/>
      <c r="F167" s="421"/>
      <c r="G167" s="421"/>
      <c r="H167" s="421"/>
      <c r="I167" s="421"/>
      <c r="J167" s="421"/>
      <c r="K167" s="421"/>
      <c r="L167" s="421"/>
      <c r="M167" s="421"/>
      <c r="N167" s="421"/>
      <c r="O167" s="1"/>
      <c r="P167" s="5"/>
    </row>
    <row r="168" spans="1:16" ht="20" hidden="1" customHeight="1" x14ac:dyDescent="0.35">
      <c r="A168" s="91" t="s">
        <v>1187</v>
      </c>
      <c r="B168" s="428" t="s">
        <v>1341</v>
      </c>
      <c r="C168" s="428"/>
      <c r="D168" s="428"/>
      <c r="E168" s="428"/>
      <c r="F168" s="428"/>
      <c r="G168" s="428"/>
      <c r="H168" s="428"/>
      <c r="I168" s="428"/>
      <c r="J168" s="428"/>
      <c r="K168" s="428"/>
      <c r="L168" s="428"/>
      <c r="M168" s="428"/>
      <c r="N168" s="428"/>
      <c r="O168" s="1" t="s">
        <v>1802</v>
      </c>
      <c r="P168" s="5"/>
    </row>
    <row r="169" spans="1:16" ht="20" hidden="1" customHeight="1" x14ac:dyDescent="0.35">
      <c r="A169" s="91" t="s">
        <v>1192</v>
      </c>
      <c r="B169" s="424" t="s">
        <v>1285</v>
      </c>
      <c r="C169" s="424"/>
      <c r="D169" s="424"/>
      <c r="E169" s="424"/>
      <c r="F169" s="424"/>
      <c r="G169" s="424"/>
      <c r="H169" s="424"/>
      <c r="I169" s="424"/>
      <c r="J169" s="424"/>
      <c r="K169" s="424"/>
      <c r="L169" s="424"/>
      <c r="M169" s="424"/>
      <c r="N169" s="424"/>
      <c r="O169" s="1" t="s">
        <v>1802</v>
      </c>
      <c r="P169" s="5"/>
    </row>
    <row r="170" spans="1:16" ht="20" hidden="1" customHeight="1" x14ac:dyDescent="0.35">
      <c r="A170" s="91" t="s">
        <v>1193</v>
      </c>
      <c r="B170" s="424" t="s">
        <v>1356</v>
      </c>
      <c r="C170" s="424"/>
      <c r="D170" s="424"/>
      <c r="E170" s="424"/>
      <c r="F170" s="424"/>
      <c r="G170" s="424"/>
      <c r="H170" s="424"/>
      <c r="I170" s="424"/>
      <c r="J170" s="424"/>
      <c r="K170" s="424"/>
      <c r="L170" s="424"/>
      <c r="M170" s="424"/>
      <c r="N170" s="424"/>
      <c r="O170" s="1" t="s">
        <v>1802</v>
      </c>
      <c r="P170" s="5"/>
    </row>
    <row r="171" spans="1:16" ht="20" hidden="1" customHeight="1" x14ac:dyDescent="0.35">
      <c r="A171" s="91" t="s">
        <v>1194</v>
      </c>
      <c r="B171" s="424" t="s">
        <v>1697</v>
      </c>
      <c r="C171" s="424"/>
      <c r="D171" s="424"/>
      <c r="E171" s="424"/>
      <c r="F171" s="424"/>
      <c r="G171" s="424"/>
      <c r="H171" s="424"/>
      <c r="I171" s="424"/>
      <c r="J171" s="424"/>
      <c r="K171" s="424"/>
      <c r="L171" s="424"/>
      <c r="M171" s="424"/>
      <c r="N171" s="424"/>
      <c r="O171" s="1" t="s">
        <v>1802</v>
      </c>
      <c r="P171" s="5"/>
    </row>
    <row r="172" spans="1:16" ht="20" hidden="1" customHeight="1" x14ac:dyDescent="0.35">
      <c r="A172" s="91" t="s">
        <v>1195</v>
      </c>
      <c r="B172" s="424" t="s">
        <v>2215</v>
      </c>
      <c r="C172" s="424"/>
      <c r="D172" s="424"/>
      <c r="E172" s="424"/>
      <c r="F172" s="424"/>
      <c r="G172" s="424"/>
      <c r="H172" s="424"/>
      <c r="I172" s="424"/>
      <c r="J172" s="424"/>
      <c r="K172" s="424"/>
      <c r="L172" s="424"/>
      <c r="M172" s="424"/>
      <c r="N172" s="424"/>
      <c r="O172" s="1" t="s">
        <v>1802</v>
      </c>
      <c r="P172" s="5"/>
    </row>
    <row r="173" spans="1:16" ht="20" hidden="1" customHeight="1" x14ac:dyDescent="0.35">
      <c r="A173" s="91" t="s">
        <v>1196</v>
      </c>
      <c r="B173" s="424" t="s">
        <v>1733</v>
      </c>
      <c r="C173" s="424"/>
      <c r="D173" s="424"/>
      <c r="E173" s="424"/>
      <c r="F173" s="424"/>
      <c r="G173" s="424"/>
      <c r="H173" s="424"/>
      <c r="I173" s="424"/>
      <c r="J173" s="424"/>
      <c r="K173" s="424"/>
      <c r="L173" s="424"/>
      <c r="M173" s="424"/>
      <c r="N173" s="424"/>
      <c r="O173" s="1" t="s">
        <v>1802</v>
      </c>
      <c r="P173" s="5"/>
    </row>
    <row r="174" spans="1:16" ht="20" hidden="1" customHeight="1" x14ac:dyDescent="0.35">
      <c r="A174" s="91" t="s">
        <v>1197</v>
      </c>
      <c r="B174" s="424" t="s">
        <v>1731</v>
      </c>
      <c r="C174" s="424"/>
      <c r="D174" s="424"/>
      <c r="E174" s="424"/>
      <c r="F174" s="424"/>
      <c r="G174" s="424"/>
      <c r="H174" s="424"/>
      <c r="I174" s="424"/>
      <c r="J174" s="424"/>
      <c r="K174" s="424"/>
      <c r="L174" s="424"/>
      <c r="M174" s="424"/>
      <c r="N174" s="424"/>
      <c r="O174" s="1" t="s">
        <v>1802</v>
      </c>
      <c r="P174" s="5"/>
    </row>
    <row r="175" spans="1:16" ht="20" hidden="1" customHeight="1" x14ac:dyDescent="0.35">
      <c r="A175" s="91" t="s">
        <v>1198</v>
      </c>
      <c r="B175" s="424" t="s">
        <v>2272</v>
      </c>
      <c r="C175" s="424"/>
      <c r="D175" s="424"/>
      <c r="E175" s="424"/>
      <c r="F175" s="424"/>
      <c r="G175" s="424"/>
      <c r="H175" s="424"/>
      <c r="I175" s="424"/>
      <c r="J175" s="424"/>
      <c r="K175" s="424"/>
      <c r="L175" s="424"/>
      <c r="M175" s="424"/>
      <c r="N175" s="424"/>
      <c r="O175" s="1" t="s">
        <v>1802</v>
      </c>
      <c r="P175" s="5"/>
    </row>
    <row r="176" spans="1:16" ht="20" hidden="1" customHeight="1" x14ac:dyDescent="0.35">
      <c r="A176" s="91" t="s">
        <v>1199</v>
      </c>
      <c r="B176" s="424" t="s">
        <v>2203</v>
      </c>
      <c r="C176" s="424"/>
      <c r="D176" s="424"/>
      <c r="E176" s="424"/>
      <c r="F176" s="424"/>
      <c r="G176" s="424"/>
      <c r="H176" s="424"/>
      <c r="I176" s="424"/>
      <c r="J176" s="424"/>
      <c r="K176" s="424"/>
      <c r="L176" s="424"/>
      <c r="M176" s="424"/>
      <c r="N176" s="424"/>
      <c r="O176" s="13" t="s">
        <v>113</v>
      </c>
      <c r="P176" s="5"/>
    </row>
    <row r="177" spans="1:16" ht="20" hidden="1" customHeight="1" x14ac:dyDescent="0.35">
      <c r="A177" s="91" t="s">
        <v>1200</v>
      </c>
      <c r="B177" s="424" t="s">
        <v>1243</v>
      </c>
      <c r="C177" s="424"/>
      <c r="D177" s="424"/>
      <c r="E177" s="424"/>
      <c r="F177" s="424"/>
      <c r="G177" s="424"/>
      <c r="H177" s="424"/>
      <c r="I177" s="424"/>
      <c r="J177" s="424"/>
      <c r="K177" s="424"/>
      <c r="L177" s="424"/>
      <c r="M177" s="424"/>
      <c r="N177" s="424"/>
      <c r="O177" s="1" t="s">
        <v>1802</v>
      </c>
      <c r="P177" s="5"/>
    </row>
    <row r="178" spans="1:16" ht="20" hidden="1" customHeight="1" x14ac:dyDescent="0.35">
      <c r="A178" s="91" t="s">
        <v>1201</v>
      </c>
      <c r="B178" s="424" t="s">
        <v>1976</v>
      </c>
      <c r="C178" s="424"/>
      <c r="D178" s="424"/>
      <c r="E178" s="424"/>
      <c r="F178" s="424"/>
      <c r="G178" s="424"/>
      <c r="H178" s="424"/>
      <c r="I178" s="424"/>
      <c r="J178" s="424"/>
      <c r="K178" s="424"/>
      <c r="L178" s="424"/>
      <c r="M178" s="424"/>
      <c r="N178" s="424"/>
      <c r="O178" s="1"/>
      <c r="P178" s="5"/>
    </row>
    <row r="179" spans="1:16" ht="20" hidden="1" customHeight="1" x14ac:dyDescent="0.35">
      <c r="A179" s="1" t="s">
        <v>1202</v>
      </c>
      <c r="B179" s="424" t="s">
        <v>1203</v>
      </c>
      <c r="C179" s="424"/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  <c r="O179" s="1"/>
      <c r="P179" s="5"/>
    </row>
    <row r="180" spans="1:16" ht="20" hidden="1" customHeight="1" x14ac:dyDescent="0.35">
      <c r="A180" s="91" t="s">
        <v>1204</v>
      </c>
      <c r="B180" s="424" t="s">
        <v>1314</v>
      </c>
      <c r="C180" s="424"/>
      <c r="D180" s="424"/>
      <c r="E180" s="424"/>
      <c r="F180" s="424"/>
      <c r="G180" s="424"/>
      <c r="H180" s="424"/>
      <c r="I180" s="424"/>
      <c r="J180" s="424"/>
      <c r="K180" s="424"/>
      <c r="L180" s="424"/>
      <c r="M180" s="424"/>
      <c r="N180" s="424"/>
      <c r="O180" s="1" t="s">
        <v>1802</v>
      </c>
      <c r="P180" s="5"/>
    </row>
    <row r="181" spans="1:16" ht="20" hidden="1" customHeight="1" x14ac:dyDescent="0.35">
      <c r="A181" s="91" t="s">
        <v>1209</v>
      </c>
      <c r="B181" s="424" t="s">
        <v>1210</v>
      </c>
      <c r="C181" s="424"/>
      <c r="D181" s="424"/>
      <c r="E181" s="424"/>
      <c r="F181" s="424"/>
      <c r="G181" s="424"/>
      <c r="H181" s="424"/>
      <c r="I181" s="424"/>
      <c r="J181" s="424"/>
      <c r="K181" s="424"/>
      <c r="L181" s="424"/>
      <c r="M181" s="424"/>
      <c r="N181" s="424"/>
      <c r="O181" s="1"/>
      <c r="P181" s="5"/>
    </row>
    <row r="182" spans="1:16" ht="20" hidden="1" customHeight="1" x14ac:dyDescent="0.35">
      <c r="A182" s="172" t="s">
        <v>1222</v>
      </c>
      <c r="B182" s="424" t="s">
        <v>1223</v>
      </c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</row>
    <row r="183" spans="1:16" ht="20" hidden="1" customHeight="1" x14ac:dyDescent="0.35">
      <c r="A183" s="175" t="s">
        <v>1235</v>
      </c>
      <c r="B183" s="421" t="s">
        <v>1390</v>
      </c>
      <c r="C183" s="421"/>
      <c r="D183" s="421"/>
      <c r="E183" s="421"/>
      <c r="F183" s="421"/>
      <c r="G183" s="421"/>
      <c r="H183" s="421"/>
      <c r="I183" s="421"/>
      <c r="J183" s="421"/>
      <c r="K183" s="421"/>
      <c r="L183" s="421"/>
      <c r="M183" s="421"/>
      <c r="N183" s="421"/>
    </row>
    <row r="184" spans="1:16" ht="20" hidden="1" customHeight="1" x14ac:dyDescent="0.35">
      <c r="A184" s="175" t="s">
        <v>1245</v>
      </c>
      <c r="B184" s="421" t="s">
        <v>2220</v>
      </c>
      <c r="C184" s="421"/>
      <c r="D184" s="421"/>
      <c r="E184" s="421"/>
      <c r="F184" s="421"/>
      <c r="G184" s="421"/>
      <c r="H184" s="421"/>
      <c r="I184" s="421"/>
      <c r="J184" s="421"/>
      <c r="K184" s="421"/>
      <c r="L184" s="421"/>
      <c r="M184" s="421"/>
      <c r="N184" s="421"/>
    </row>
    <row r="185" spans="1:16" ht="20" hidden="1" customHeight="1" x14ac:dyDescent="0.35">
      <c r="A185" s="79" t="s">
        <v>1273</v>
      </c>
      <c r="B185" s="421" t="s">
        <v>1274</v>
      </c>
      <c r="C185" s="421"/>
      <c r="D185" s="421"/>
      <c r="E185" s="421"/>
      <c r="F185" s="421"/>
      <c r="G185" s="421"/>
      <c r="H185" s="421"/>
      <c r="I185" s="421"/>
      <c r="J185" s="421"/>
      <c r="K185" s="421"/>
      <c r="L185" s="421"/>
      <c r="M185" s="421"/>
      <c r="N185" s="421"/>
    </row>
    <row r="186" spans="1:16" ht="20" hidden="1" customHeight="1" x14ac:dyDescent="0.35">
      <c r="A186" t="s">
        <v>1281</v>
      </c>
      <c r="B186" s="421" t="s">
        <v>1282</v>
      </c>
      <c r="C186" s="421"/>
      <c r="D186" s="421"/>
      <c r="E186" s="421"/>
      <c r="F186" s="421"/>
      <c r="G186" s="421"/>
      <c r="H186" s="421"/>
      <c r="I186" s="421"/>
      <c r="J186" s="421"/>
      <c r="K186" s="421"/>
      <c r="L186" s="421"/>
      <c r="M186" s="421"/>
      <c r="N186" s="421"/>
    </row>
    <row r="187" spans="1:16" ht="20" hidden="1" customHeight="1" x14ac:dyDescent="0.35">
      <c r="A187" s="79" t="s">
        <v>1284</v>
      </c>
      <c r="B187" s="424" t="s">
        <v>2232</v>
      </c>
      <c r="C187" s="424"/>
      <c r="D187" s="424"/>
      <c r="E187" s="424"/>
      <c r="F187" s="424"/>
      <c r="G187" s="424"/>
      <c r="H187" s="424"/>
      <c r="I187" s="424"/>
      <c r="J187" s="424"/>
      <c r="K187" s="424"/>
      <c r="L187" s="424"/>
      <c r="M187" s="424"/>
      <c r="N187" s="424"/>
      <c r="O187" s="1" t="s">
        <v>1802</v>
      </c>
    </row>
    <row r="188" spans="1:16" ht="20" hidden="1" customHeight="1" x14ac:dyDescent="0.35">
      <c r="A188" s="171" t="s">
        <v>1305</v>
      </c>
      <c r="B188" s="421" t="s">
        <v>2297</v>
      </c>
      <c r="C188" s="421"/>
      <c r="D188" s="421"/>
      <c r="E188" s="421"/>
      <c r="F188" s="421"/>
      <c r="G188" s="421"/>
      <c r="H188" s="421"/>
      <c r="I188" s="421"/>
      <c r="J188" s="421"/>
      <c r="K188" s="421"/>
      <c r="L188" s="421"/>
      <c r="M188" s="421"/>
      <c r="N188" s="421"/>
      <c r="O188" s="1" t="s">
        <v>114</v>
      </c>
      <c r="P188" s="53" t="s">
        <v>290</v>
      </c>
    </row>
    <row r="189" spans="1:16" ht="20" hidden="1" customHeight="1" x14ac:dyDescent="0.35">
      <c r="A189" s="171" t="s">
        <v>1332</v>
      </c>
      <c r="B189" s="425" t="s">
        <v>2298</v>
      </c>
      <c r="C189" s="421"/>
      <c r="D189" s="421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1" t="s">
        <v>1335</v>
      </c>
      <c r="P189" s="53"/>
    </row>
    <row r="190" spans="1:16" ht="20" hidden="1" customHeight="1" x14ac:dyDescent="0.35">
      <c r="A190" s="171" t="s">
        <v>1340</v>
      </c>
      <c r="B190" s="451" t="s">
        <v>1378</v>
      </c>
      <c r="C190" s="452"/>
      <c r="D190" s="452"/>
      <c r="E190" s="452"/>
      <c r="F190" s="452"/>
      <c r="G190" s="452"/>
      <c r="H190" s="452"/>
      <c r="I190" s="452"/>
      <c r="J190" s="452"/>
      <c r="K190" s="452"/>
      <c r="L190" s="452"/>
      <c r="M190" s="452"/>
      <c r="N190" s="452"/>
      <c r="O190" s="1" t="s">
        <v>1335</v>
      </c>
      <c r="P190" s="53"/>
    </row>
    <row r="191" spans="1:16" ht="20" hidden="1" customHeight="1" x14ac:dyDescent="0.35">
      <c r="A191" s="171" t="s">
        <v>1343</v>
      </c>
      <c r="B191" s="425" t="s">
        <v>2269</v>
      </c>
      <c r="C191" s="421"/>
      <c r="D191" s="421"/>
      <c r="E191" s="421"/>
      <c r="F191" s="421"/>
      <c r="G191" s="421"/>
      <c r="H191" s="421"/>
      <c r="I191" s="421"/>
      <c r="J191" s="421"/>
      <c r="K191" s="421"/>
      <c r="L191" s="421"/>
      <c r="M191" s="421"/>
      <c r="N191" s="421"/>
      <c r="O191" s="1" t="s">
        <v>1335</v>
      </c>
      <c r="P191" s="53"/>
    </row>
    <row r="192" spans="1:16" ht="20" hidden="1" customHeight="1" x14ac:dyDescent="0.35">
      <c r="A192" s="171" t="s">
        <v>1344</v>
      </c>
      <c r="B192" s="425" t="s">
        <v>1792</v>
      </c>
      <c r="C192" s="421"/>
      <c r="D192" s="421"/>
      <c r="E192" s="421"/>
      <c r="F192" s="421"/>
      <c r="G192" s="421"/>
      <c r="H192" s="421"/>
      <c r="I192" s="421"/>
      <c r="J192" s="421"/>
      <c r="K192" s="421"/>
      <c r="L192" s="421"/>
      <c r="M192" s="421"/>
      <c r="N192" s="421"/>
      <c r="O192" s="1" t="s">
        <v>1335</v>
      </c>
      <c r="P192" s="53"/>
    </row>
    <row r="193" spans="1:16" ht="20" hidden="1" customHeight="1" x14ac:dyDescent="0.35">
      <c r="A193" s="171" t="s">
        <v>1345</v>
      </c>
      <c r="B193" s="425" t="s">
        <v>2271</v>
      </c>
      <c r="C193" s="421"/>
      <c r="D193" s="421"/>
      <c r="E193" s="421"/>
      <c r="F193" s="421"/>
      <c r="G193" s="421"/>
      <c r="H193" s="421"/>
      <c r="I193" s="421"/>
      <c r="J193" s="421"/>
      <c r="K193" s="421"/>
      <c r="L193" s="421"/>
      <c r="M193" s="421"/>
      <c r="N193" s="421"/>
      <c r="O193" s="1" t="s">
        <v>1335</v>
      </c>
      <c r="P193" s="53"/>
    </row>
    <row r="194" spans="1:16" ht="20" hidden="1" customHeight="1" x14ac:dyDescent="0.35">
      <c r="A194" s="171" t="s">
        <v>1346</v>
      </c>
      <c r="B194" s="451" t="s">
        <v>1380</v>
      </c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1" t="s">
        <v>1335</v>
      </c>
      <c r="P194" s="53"/>
    </row>
    <row r="195" spans="1:16" ht="20" hidden="1" customHeight="1" x14ac:dyDescent="0.35">
      <c r="A195" s="171" t="s">
        <v>1349</v>
      </c>
      <c r="B195" s="425" t="s">
        <v>2153</v>
      </c>
      <c r="C195" s="421"/>
      <c r="D195" s="421"/>
      <c r="E195" s="421"/>
      <c r="F195" s="421"/>
      <c r="G195" s="421"/>
      <c r="H195" s="421"/>
      <c r="I195" s="421"/>
      <c r="J195" s="421"/>
      <c r="K195" s="421"/>
      <c r="L195" s="421"/>
      <c r="M195" s="421"/>
      <c r="N195" s="421"/>
      <c r="O195" s="1"/>
      <c r="P195" s="53"/>
    </row>
    <row r="196" spans="1:16" ht="20" hidden="1" customHeight="1" x14ac:dyDescent="0.35">
      <c r="A196" s="171" t="s">
        <v>1365</v>
      </c>
      <c r="B196" s="425" t="s">
        <v>1798</v>
      </c>
      <c r="C196" s="421"/>
      <c r="D196" s="421"/>
      <c r="E196" s="421"/>
      <c r="F196" s="421"/>
      <c r="G196" s="421"/>
      <c r="H196" s="421"/>
      <c r="I196" s="421"/>
      <c r="J196" s="421"/>
      <c r="K196" s="421"/>
      <c r="L196" s="421"/>
      <c r="M196" s="421"/>
      <c r="N196" s="421"/>
      <c r="O196" s="1" t="s">
        <v>1335</v>
      </c>
      <c r="P196" s="53"/>
    </row>
    <row r="197" spans="1:16" ht="20" hidden="1" customHeight="1" x14ac:dyDescent="0.35">
      <c r="A197" s="171" t="s">
        <v>1366</v>
      </c>
      <c r="B197" s="425" t="s">
        <v>1796</v>
      </c>
      <c r="C197" s="421"/>
      <c r="D197" s="421"/>
      <c r="E197" s="421"/>
      <c r="F197" s="421"/>
      <c r="G197" s="421"/>
      <c r="H197" s="421"/>
      <c r="I197" s="421"/>
      <c r="J197" s="421"/>
      <c r="K197" s="421"/>
      <c r="L197" s="421"/>
      <c r="M197" s="421"/>
      <c r="N197" s="421"/>
      <c r="O197" s="1" t="s">
        <v>1335</v>
      </c>
      <c r="P197" s="53"/>
    </row>
    <row r="198" spans="1:16" ht="20" hidden="1" customHeight="1" x14ac:dyDescent="0.35">
      <c r="A198" s="171" t="s">
        <v>1367</v>
      </c>
      <c r="B198" s="425" t="s">
        <v>1793</v>
      </c>
      <c r="C198" s="421"/>
      <c r="D198" s="421"/>
      <c r="E198" s="421"/>
      <c r="F198" s="421"/>
      <c r="G198" s="421"/>
      <c r="H198" s="421"/>
      <c r="I198" s="421"/>
      <c r="J198" s="421"/>
      <c r="K198" s="421"/>
      <c r="L198" s="421"/>
      <c r="M198" s="421"/>
      <c r="N198" s="421"/>
      <c r="O198" s="1" t="s">
        <v>1335</v>
      </c>
      <c r="P198" s="53"/>
    </row>
    <row r="199" spans="1:16" ht="20" hidden="1" customHeight="1" x14ac:dyDescent="0.35">
      <c r="A199" s="171" t="s">
        <v>1368</v>
      </c>
      <c r="B199" s="451" t="s">
        <v>1381</v>
      </c>
      <c r="C199" s="452"/>
      <c r="D199" s="452"/>
      <c r="E199" s="452"/>
      <c r="F199" s="452"/>
      <c r="G199" s="452"/>
      <c r="H199" s="452"/>
      <c r="I199" s="452"/>
      <c r="J199" s="452"/>
      <c r="K199" s="452"/>
      <c r="L199" s="452"/>
      <c r="M199" s="452"/>
      <c r="N199" s="452"/>
      <c r="O199" s="1" t="s">
        <v>1335</v>
      </c>
      <c r="P199" s="53"/>
    </row>
    <row r="200" spans="1:16" ht="20" hidden="1" customHeight="1" x14ac:dyDescent="0.35">
      <c r="A200" s="171" t="s">
        <v>1370</v>
      </c>
      <c r="B200" s="421" t="s">
        <v>2289</v>
      </c>
      <c r="C200" s="421"/>
      <c r="D200" s="421"/>
      <c r="E200" s="421"/>
      <c r="F200" s="421"/>
      <c r="G200" s="421"/>
      <c r="H200" s="421"/>
      <c r="I200" s="421"/>
      <c r="J200" s="421"/>
      <c r="K200" s="421"/>
      <c r="L200" s="421"/>
      <c r="M200" s="421"/>
      <c r="N200" s="421"/>
      <c r="O200" s="1" t="s">
        <v>1335</v>
      </c>
      <c r="P200" s="53"/>
    </row>
    <row r="201" spans="1:16" ht="20" hidden="1" customHeight="1" x14ac:dyDescent="0.35">
      <c r="A201" s="171" t="s">
        <v>1371</v>
      </c>
      <c r="B201" s="452" t="s">
        <v>1379</v>
      </c>
      <c r="C201" s="452"/>
      <c r="D201" s="452"/>
      <c r="E201" s="452"/>
      <c r="F201" s="452"/>
      <c r="G201" s="452"/>
      <c r="H201" s="452"/>
      <c r="I201" s="452"/>
      <c r="J201" s="452"/>
      <c r="K201" s="452"/>
      <c r="L201" s="452"/>
      <c r="M201" s="452"/>
      <c r="N201" s="452"/>
      <c r="O201" s="1" t="s">
        <v>1335</v>
      </c>
      <c r="P201" s="53"/>
    </row>
    <row r="202" spans="1:16" ht="20" hidden="1" customHeight="1" x14ac:dyDescent="0.35">
      <c r="A202" s="171" t="s">
        <v>1373</v>
      </c>
      <c r="B202" s="421" t="s">
        <v>1797</v>
      </c>
      <c r="C202" s="421"/>
      <c r="D202" s="421"/>
      <c r="E202" s="421"/>
      <c r="F202" s="421"/>
      <c r="G202" s="421"/>
      <c r="H202" s="421"/>
      <c r="I202" s="421"/>
      <c r="J202" s="421"/>
      <c r="K202" s="421"/>
      <c r="L202" s="421"/>
      <c r="M202" s="421"/>
      <c r="N202" s="421"/>
      <c r="O202" s="1" t="s">
        <v>1335</v>
      </c>
      <c r="P202" s="53"/>
    </row>
    <row r="203" spans="1:16" ht="20" hidden="1" customHeight="1" x14ac:dyDescent="0.35">
      <c r="A203" s="171" t="s">
        <v>1374</v>
      </c>
      <c r="B203" s="452" t="s">
        <v>1801</v>
      </c>
      <c r="C203" s="452"/>
      <c r="D203" s="452"/>
      <c r="E203" s="452"/>
      <c r="F203" s="452"/>
      <c r="G203" s="452"/>
      <c r="H203" s="452"/>
      <c r="I203" s="452"/>
      <c r="J203" s="452"/>
      <c r="K203" s="452"/>
      <c r="L203" s="452"/>
      <c r="M203" s="452"/>
      <c r="N203" s="452"/>
      <c r="O203" s="1" t="s">
        <v>1335</v>
      </c>
      <c r="P203" s="53"/>
    </row>
    <row r="204" spans="1:16" ht="20" hidden="1" customHeight="1" x14ac:dyDescent="0.35">
      <c r="A204" s="171" t="s">
        <v>1377</v>
      </c>
      <c r="B204" s="421" t="s">
        <v>2281</v>
      </c>
      <c r="C204" s="421"/>
      <c r="D204" s="421"/>
      <c r="E204" s="421"/>
      <c r="F204" s="421"/>
      <c r="G204" s="421"/>
      <c r="H204" s="421"/>
      <c r="I204" s="421"/>
      <c r="J204" s="421"/>
      <c r="K204" s="421"/>
      <c r="L204" s="421"/>
      <c r="M204" s="421"/>
      <c r="N204" s="421"/>
      <c r="O204" s="1" t="s">
        <v>1335</v>
      </c>
      <c r="P204" s="53"/>
    </row>
    <row r="205" spans="1:16" ht="20" hidden="1" customHeight="1" x14ac:dyDescent="0.35">
      <c r="A205" s="171" t="s">
        <v>1382</v>
      </c>
      <c r="B205" s="452" t="s">
        <v>1707</v>
      </c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  <c r="M205" s="452"/>
      <c r="N205" s="452"/>
      <c r="O205" s="1" t="s">
        <v>1335</v>
      </c>
      <c r="P205" s="53"/>
    </row>
    <row r="206" spans="1:16" ht="20" hidden="1" customHeight="1" x14ac:dyDescent="0.35">
      <c r="A206" s="171" t="s">
        <v>1384</v>
      </c>
      <c r="B206" s="421" t="s">
        <v>1800</v>
      </c>
      <c r="C206" s="421"/>
      <c r="D206" s="421"/>
      <c r="E206" s="421"/>
      <c r="F206" s="421"/>
      <c r="G206" s="421"/>
      <c r="H206" s="421"/>
      <c r="I206" s="421"/>
      <c r="J206" s="421"/>
      <c r="K206" s="421"/>
      <c r="L206" s="421"/>
      <c r="M206" s="421"/>
      <c r="N206" s="421"/>
      <c r="O206" s="1" t="s">
        <v>1335</v>
      </c>
      <c r="P206" s="53"/>
    </row>
    <row r="207" spans="1:16" ht="20" hidden="1" customHeight="1" x14ac:dyDescent="0.35">
      <c r="A207" s="171" t="s">
        <v>1385</v>
      </c>
      <c r="B207" s="421" t="s">
        <v>1794</v>
      </c>
      <c r="C207" s="421"/>
      <c r="D207" s="421"/>
      <c r="E207" s="421"/>
      <c r="F207" s="421"/>
      <c r="G207" s="421"/>
      <c r="H207" s="421"/>
      <c r="I207" s="421"/>
      <c r="J207" s="421"/>
      <c r="K207" s="421"/>
      <c r="L207" s="421"/>
      <c r="M207" s="421"/>
      <c r="N207" s="421"/>
      <c r="O207" s="1" t="s">
        <v>1335</v>
      </c>
      <c r="P207" s="53"/>
    </row>
    <row r="208" spans="1:16" ht="20" hidden="1" customHeight="1" x14ac:dyDescent="0.35">
      <c r="A208" s="171" t="s">
        <v>1406</v>
      </c>
      <c r="B208" s="421" t="s">
        <v>1407</v>
      </c>
      <c r="C208" s="421"/>
      <c r="D208" s="421"/>
      <c r="E208" s="421"/>
      <c r="F208" s="421"/>
      <c r="G208" s="421"/>
      <c r="H208" s="421"/>
      <c r="I208" s="421"/>
      <c r="J208" s="421"/>
      <c r="K208" s="421"/>
      <c r="L208" s="421"/>
      <c r="M208" s="421"/>
      <c r="N208" s="421"/>
    </row>
    <row r="209" spans="1:16" ht="20" hidden="1" customHeight="1" x14ac:dyDescent="0.35">
      <c r="A209" s="222" t="s">
        <v>1412</v>
      </c>
      <c r="B209" s="421" t="s">
        <v>1413</v>
      </c>
      <c r="C209" s="421"/>
      <c r="D209" s="421"/>
      <c r="E209" s="421"/>
      <c r="F209" s="421"/>
      <c r="G209" s="421"/>
      <c r="H209" s="421"/>
      <c r="I209" s="421"/>
      <c r="J209" s="421"/>
      <c r="K209" s="421"/>
      <c r="L209" s="421"/>
      <c r="M209" s="421"/>
      <c r="N209" s="421"/>
    </row>
    <row r="210" spans="1:16" ht="20" hidden="1" customHeight="1" x14ac:dyDescent="0.35">
      <c r="A210" s="171" t="s">
        <v>1426</v>
      </c>
      <c r="B210" s="421" t="s">
        <v>1799</v>
      </c>
      <c r="C210" s="421"/>
      <c r="D210" s="421"/>
      <c r="E210" s="421"/>
      <c r="F210" s="421"/>
      <c r="G210" s="421"/>
      <c r="H210" s="421"/>
      <c r="I210" s="421"/>
      <c r="J210" s="421"/>
      <c r="K210" s="421"/>
      <c r="L210" s="421"/>
      <c r="M210" s="421"/>
      <c r="N210" s="421"/>
      <c r="O210" s="1" t="s">
        <v>1335</v>
      </c>
      <c r="P210" s="53"/>
    </row>
    <row r="211" spans="1:16" ht="20" hidden="1" customHeight="1" x14ac:dyDescent="0.35">
      <c r="A211" s="171" t="s">
        <v>1427</v>
      </c>
      <c r="B211" s="421" t="s">
        <v>1428</v>
      </c>
      <c r="C211" s="421"/>
      <c r="D211" s="421"/>
      <c r="E211" s="421"/>
      <c r="F211" s="421"/>
      <c r="G211" s="421"/>
      <c r="H211" s="421"/>
      <c r="I211" s="421"/>
      <c r="J211" s="421"/>
      <c r="K211" s="421"/>
      <c r="L211" s="421"/>
      <c r="M211" s="421"/>
      <c r="N211" s="421"/>
    </row>
    <row r="212" spans="1:16" ht="20" hidden="1" customHeight="1" x14ac:dyDescent="0.35">
      <c r="A212" s="222" t="s">
        <v>1441</v>
      </c>
      <c r="B212" s="421" t="s">
        <v>1703</v>
      </c>
      <c r="C212" s="421"/>
      <c r="D212" s="421"/>
      <c r="E212" s="421"/>
      <c r="F212" s="421"/>
      <c r="G212" s="421"/>
      <c r="H212" s="421"/>
      <c r="I212" s="421"/>
      <c r="J212" s="421"/>
      <c r="K212" s="421"/>
      <c r="L212" s="421"/>
      <c r="M212" s="421"/>
      <c r="N212" s="421"/>
    </row>
    <row r="213" spans="1:16" ht="20" hidden="1" customHeight="1" x14ac:dyDescent="0.35">
      <c r="A213" s="222" t="s">
        <v>1461</v>
      </c>
      <c r="B213" s="453" t="s">
        <v>1462</v>
      </c>
      <c r="C213" s="453"/>
      <c r="D213" s="453"/>
      <c r="E213" s="453"/>
      <c r="F213" s="453"/>
      <c r="G213" s="453"/>
      <c r="H213" s="453"/>
      <c r="I213" s="453"/>
      <c r="J213" s="453"/>
      <c r="K213" s="453"/>
      <c r="L213" s="453"/>
      <c r="M213" s="453"/>
      <c r="N213" s="453"/>
    </row>
    <row r="214" spans="1:16" ht="20" hidden="1" customHeight="1" x14ac:dyDescent="0.35">
      <c r="A214" s="222" t="s">
        <v>1471</v>
      </c>
      <c r="B214" s="421" t="s">
        <v>1795</v>
      </c>
      <c r="C214" s="421"/>
      <c r="D214" s="421"/>
      <c r="E214" s="421"/>
      <c r="F214" s="421"/>
      <c r="G214" s="421"/>
      <c r="H214" s="421"/>
      <c r="I214" s="421"/>
      <c r="J214" s="421"/>
      <c r="K214" s="421"/>
      <c r="L214" s="421"/>
      <c r="M214" s="421"/>
      <c r="N214" s="421"/>
      <c r="O214" s="1" t="s">
        <v>1335</v>
      </c>
      <c r="P214" s="53"/>
    </row>
    <row r="215" spans="1:16" ht="20" hidden="1" customHeight="1" x14ac:dyDescent="0.35">
      <c r="A215" s="91" t="s">
        <v>1472</v>
      </c>
      <c r="B215" s="424" t="s">
        <v>1699</v>
      </c>
      <c r="C215" s="424"/>
      <c r="D215" s="424"/>
      <c r="E215" s="424"/>
      <c r="F215" s="424"/>
      <c r="G215" s="424"/>
      <c r="H215" s="424"/>
      <c r="I215" s="424"/>
      <c r="J215" s="424"/>
      <c r="K215" s="424"/>
      <c r="L215" s="424"/>
      <c r="M215" s="424"/>
      <c r="N215" s="424"/>
      <c r="O215" t="s">
        <v>1802</v>
      </c>
    </row>
    <row r="216" spans="1:16" ht="20" hidden="1" customHeight="1" x14ac:dyDescent="0.35">
      <c r="A216" s="91" t="s">
        <v>1473</v>
      </c>
      <c r="B216" s="424" t="s">
        <v>1734</v>
      </c>
      <c r="C216" s="424"/>
      <c r="D216" s="424"/>
      <c r="E216" s="424"/>
      <c r="F216" s="424"/>
      <c r="G216" s="424"/>
      <c r="H216" s="424"/>
      <c r="I216" s="424"/>
      <c r="J216" s="424"/>
      <c r="K216" s="424"/>
      <c r="L216" s="424"/>
      <c r="M216" s="424"/>
      <c r="N216" s="424"/>
      <c r="O216" t="s">
        <v>1802</v>
      </c>
    </row>
    <row r="217" spans="1:16" ht="20" hidden="1" customHeight="1" x14ac:dyDescent="0.35">
      <c r="A217" s="91" t="s">
        <v>1487</v>
      </c>
      <c r="B217" s="424" t="s">
        <v>1730</v>
      </c>
      <c r="C217" s="424"/>
      <c r="D217" s="424"/>
      <c r="E217" s="424"/>
      <c r="F217" s="424"/>
      <c r="G217" s="424"/>
      <c r="H217" s="424"/>
      <c r="I217" s="424"/>
      <c r="J217" s="424"/>
      <c r="K217" s="424"/>
      <c r="L217" s="424"/>
      <c r="M217" s="424"/>
      <c r="N217" s="424"/>
      <c r="O217" s="1" t="s">
        <v>1802</v>
      </c>
      <c r="P217" s="5"/>
    </row>
    <row r="218" spans="1:16" ht="20" hidden="1" customHeight="1" x14ac:dyDescent="0.35">
      <c r="A218" s="91" t="s">
        <v>1488</v>
      </c>
      <c r="B218" s="423" t="s">
        <v>1489</v>
      </c>
      <c r="C218" s="424"/>
      <c r="D218" s="424"/>
      <c r="E218" s="424"/>
      <c r="F218" s="424"/>
      <c r="G218" s="424"/>
      <c r="H218" s="424"/>
      <c r="I218" s="424"/>
      <c r="J218" s="424"/>
      <c r="K218" s="424"/>
      <c r="L218" s="424"/>
      <c r="M218" s="424"/>
      <c r="N218" s="424"/>
    </row>
    <row r="219" spans="1:16" ht="20" hidden="1" customHeight="1" x14ac:dyDescent="0.35">
      <c r="A219" s="171" t="s">
        <v>1558</v>
      </c>
      <c r="B219" s="423" t="s">
        <v>1559</v>
      </c>
      <c r="C219" s="424"/>
      <c r="D219" s="424"/>
      <c r="E219" s="424"/>
      <c r="F219" s="424"/>
      <c r="G219" s="424"/>
      <c r="H219" s="424"/>
      <c r="I219" s="424"/>
      <c r="J219" s="424"/>
      <c r="K219" s="424"/>
      <c r="L219" s="424"/>
      <c r="M219" s="424"/>
      <c r="N219" s="424"/>
    </row>
    <row r="220" spans="1:16" ht="20" hidden="1" customHeight="1" x14ac:dyDescent="0.35">
      <c r="A220" s="171" t="s">
        <v>1883</v>
      </c>
      <c r="B220" s="424" t="s">
        <v>1939</v>
      </c>
      <c r="C220" s="424"/>
      <c r="D220" s="424"/>
      <c r="E220" s="424"/>
      <c r="F220" s="424"/>
      <c r="G220" s="424"/>
      <c r="H220" s="424"/>
      <c r="I220" s="424"/>
      <c r="J220" s="424"/>
      <c r="K220" s="424"/>
      <c r="L220" s="424"/>
      <c r="M220" s="424"/>
      <c r="N220" s="424"/>
      <c r="O220" s="1" t="s">
        <v>114</v>
      </c>
    </row>
    <row r="221" spans="1:16" ht="20" hidden="1" customHeight="1" x14ac:dyDescent="0.35">
      <c r="A221" s="171" t="s">
        <v>1884</v>
      </c>
      <c r="B221" s="424" t="s">
        <v>1938</v>
      </c>
      <c r="C221" s="424"/>
      <c r="D221" s="424"/>
      <c r="E221" s="424"/>
      <c r="F221" s="424"/>
      <c r="G221" s="424"/>
      <c r="H221" s="424"/>
      <c r="I221" s="424"/>
      <c r="J221" s="424"/>
      <c r="K221" s="424"/>
      <c r="L221" s="424"/>
      <c r="M221" s="424"/>
      <c r="N221" s="424"/>
      <c r="O221" s="1" t="s">
        <v>114</v>
      </c>
    </row>
    <row r="222" spans="1:16" ht="20" hidden="1" customHeight="1" x14ac:dyDescent="0.35">
      <c r="A222" s="171" t="s">
        <v>1894</v>
      </c>
      <c r="B222" s="423" t="s">
        <v>1895</v>
      </c>
      <c r="C222" s="424"/>
      <c r="D222" s="424"/>
      <c r="E222" s="424"/>
      <c r="F222" s="424"/>
      <c r="G222" s="424"/>
      <c r="H222" s="424"/>
      <c r="I222" s="424"/>
      <c r="J222" s="424"/>
      <c r="K222" s="424"/>
      <c r="L222" s="424"/>
      <c r="M222" s="424"/>
      <c r="N222" s="424"/>
      <c r="O222" s="1"/>
    </row>
    <row r="223" spans="1:16" ht="20" hidden="1" customHeight="1" x14ac:dyDescent="0.35">
      <c r="A223" s="171" t="s">
        <v>1949</v>
      </c>
      <c r="B223" s="444" t="s">
        <v>1956</v>
      </c>
      <c r="C223" s="426"/>
      <c r="D223" s="426"/>
      <c r="E223" s="426"/>
      <c r="F223" s="426"/>
      <c r="G223" s="426"/>
      <c r="H223" s="426"/>
      <c r="I223" s="426"/>
      <c r="J223" s="426"/>
      <c r="K223" s="426"/>
      <c r="L223" s="426"/>
      <c r="M223" s="426"/>
      <c r="N223" s="427"/>
      <c r="O223" s="1" t="s">
        <v>1954</v>
      </c>
    </row>
    <row r="224" spans="1:16" ht="20" hidden="1" customHeight="1" x14ac:dyDescent="0.35">
      <c r="A224" s="171" t="s">
        <v>1950</v>
      </c>
      <c r="B224" s="444" t="s">
        <v>1955</v>
      </c>
      <c r="C224" s="426"/>
      <c r="D224" s="426"/>
      <c r="E224" s="426"/>
      <c r="F224" s="426"/>
      <c r="G224" s="426"/>
      <c r="H224" s="426"/>
      <c r="I224" s="426"/>
      <c r="J224" s="426"/>
      <c r="K224" s="426"/>
      <c r="L224" s="426"/>
      <c r="M224" s="426"/>
      <c r="N224" s="427"/>
      <c r="O224" s="1" t="s">
        <v>1954</v>
      </c>
    </row>
    <row r="225" spans="1:15" ht="20" hidden="1" customHeight="1" x14ac:dyDescent="0.35">
      <c r="A225" s="171" t="s">
        <v>1951</v>
      </c>
      <c r="B225" s="444" t="s">
        <v>1957</v>
      </c>
      <c r="C225" s="426"/>
      <c r="D225" s="426"/>
      <c r="E225" s="426"/>
      <c r="F225" s="426"/>
      <c r="G225" s="426"/>
      <c r="H225" s="426"/>
      <c r="I225" s="426"/>
      <c r="J225" s="426"/>
      <c r="K225" s="426"/>
      <c r="L225" s="426"/>
      <c r="M225" s="426"/>
      <c r="N225" s="427"/>
      <c r="O225" s="1" t="s">
        <v>1954</v>
      </c>
    </row>
    <row r="226" spans="1:15" ht="20" hidden="1" customHeight="1" x14ac:dyDescent="0.35">
      <c r="A226" s="171" t="s">
        <v>1952</v>
      </c>
      <c r="B226" s="444" t="s">
        <v>1966</v>
      </c>
      <c r="C226" s="426"/>
      <c r="D226" s="426"/>
      <c r="E226" s="426"/>
      <c r="F226" s="426"/>
      <c r="G226" s="426"/>
      <c r="H226" s="426"/>
      <c r="I226" s="426"/>
      <c r="J226" s="426"/>
      <c r="K226" s="426"/>
      <c r="L226" s="426"/>
      <c r="M226" s="426"/>
      <c r="N226" s="427"/>
      <c r="O226" s="1" t="s">
        <v>1954</v>
      </c>
    </row>
    <row r="227" spans="1:15" ht="20" hidden="1" customHeight="1" x14ac:dyDescent="0.35">
      <c r="A227" s="171" t="s">
        <v>1953</v>
      </c>
      <c r="B227" s="444" t="s">
        <v>1958</v>
      </c>
      <c r="C227" s="426"/>
      <c r="D227" s="426"/>
      <c r="E227" s="426"/>
      <c r="F227" s="426"/>
      <c r="G227" s="426"/>
      <c r="H227" s="426"/>
      <c r="I227" s="426"/>
      <c r="J227" s="426"/>
      <c r="K227" s="426"/>
      <c r="L227" s="426"/>
      <c r="M227" s="426"/>
      <c r="N227" s="427"/>
      <c r="O227" s="1" t="s">
        <v>1954</v>
      </c>
    </row>
    <row r="228" spans="1:15" ht="20" hidden="1" customHeight="1" x14ac:dyDescent="0.35">
      <c r="A228" s="171" t="s">
        <v>1980</v>
      </c>
      <c r="B228" s="444" t="s">
        <v>2045</v>
      </c>
      <c r="C228" s="426"/>
      <c r="D228" s="426"/>
      <c r="E228" s="426"/>
      <c r="F228" s="426"/>
      <c r="G228" s="426"/>
      <c r="H228" s="426"/>
      <c r="I228" s="426"/>
      <c r="J228" s="426"/>
      <c r="K228" s="426"/>
      <c r="L228" s="426"/>
      <c r="M228" s="426"/>
      <c r="N228" s="427"/>
      <c r="O228" s="1" t="s">
        <v>1986</v>
      </c>
    </row>
    <row r="229" spans="1:15" ht="20" hidden="1" customHeight="1" x14ac:dyDescent="0.35">
      <c r="A229" s="171" t="s">
        <v>1987</v>
      </c>
      <c r="B229" s="444" t="s">
        <v>1988</v>
      </c>
      <c r="C229" s="426"/>
      <c r="D229" s="426"/>
      <c r="E229" s="426"/>
      <c r="F229" s="426"/>
      <c r="G229" s="426"/>
      <c r="H229" s="426"/>
      <c r="I229" s="426"/>
      <c r="J229" s="426"/>
      <c r="K229" s="426"/>
      <c r="L229" s="426"/>
      <c r="M229" s="426"/>
      <c r="N229" s="427"/>
      <c r="O229" s="1" t="s">
        <v>114</v>
      </c>
    </row>
    <row r="230" spans="1:15" ht="20" hidden="1" customHeight="1" x14ac:dyDescent="0.35">
      <c r="A230" s="171" t="s">
        <v>1999</v>
      </c>
      <c r="B230" s="444" t="s">
        <v>2000</v>
      </c>
      <c r="C230" s="426"/>
      <c r="D230" s="426"/>
      <c r="E230" s="426"/>
      <c r="F230" s="426"/>
      <c r="G230" s="426"/>
      <c r="H230" s="426"/>
      <c r="I230" s="426"/>
      <c r="J230" s="426"/>
      <c r="K230" s="426"/>
      <c r="L230" s="426"/>
      <c r="M230" s="426"/>
      <c r="N230" s="427"/>
      <c r="O230" s="1" t="s">
        <v>114</v>
      </c>
    </row>
    <row r="231" spans="1:15" ht="20" hidden="1" customHeight="1" x14ac:dyDescent="0.35">
      <c r="A231" s="171" t="s">
        <v>2008</v>
      </c>
      <c r="B231" s="444" t="s">
        <v>2010</v>
      </c>
      <c r="C231" s="426"/>
      <c r="D231" s="426"/>
      <c r="E231" s="426"/>
      <c r="F231" s="426"/>
      <c r="G231" s="426"/>
      <c r="H231" s="426"/>
      <c r="I231" s="426"/>
      <c r="J231" s="426"/>
      <c r="K231" s="426"/>
      <c r="L231" s="426"/>
      <c r="M231" s="426"/>
      <c r="N231" s="427"/>
      <c r="O231" s="1" t="s">
        <v>114</v>
      </c>
    </row>
    <row r="232" spans="1:15" ht="20" hidden="1" customHeight="1" x14ac:dyDescent="0.35">
      <c r="A232" s="171" t="s">
        <v>2009</v>
      </c>
      <c r="B232" s="444" t="s">
        <v>2011</v>
      </c>
      <c r="C232" s="426"/>
      <c r="D232" s="426"/>
      <c r="E232" s="426"/>
      <c r="F232" s="426"/>
      <c r="G232" s="426"/>
      <c r="H232" s="426"/>
      <c r="I232" s="426"/>
      <c r="J232" s="426"/>
      <c r="K232" s="426"/>
      <c r="L232" s="426"/>
      <c r="M232" s="426"/>
      <c r="N232" s="427"/>
      <c r="O232" s="1" t="s">
        <v>114</v>
      </c>
    </row>
    <row r="233" spans="1:15" ht="20" hidden="1" customHeight="1" x14ac:dyDescent="0.35">
      <c r="A233" s="171" t="s">
        <v>2017</v>
      </c>
      <c r="B233" s="444" t="s">
        <v>2018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7"/>
      <c r="O233" s="1"/>
    </row>
    <row r="234" spans="1:15" ht="20" hidden="1" customHeight="1" x14ac:dyDescent="0.35">
      <c r="A234" s="171" t="s">
        <v>2022</v>
      </c>
      <c r="B234" s="424" t="s">
        <v>2023</v>
      </c>
      <c r="C234" s="426"/>
      <c r="D234" s="426"/>
      <c r="E234" s="426"/>
      <c r="F234" s="426"/>
      <c r="G234" s="426"/>
      <c r="H234" s="426"/>
      <c r="I234" s="426"/>
      <c r="J234" s="426"/>
      <c r="K234" s="426"/>
      <c r="L234" s="426"/>
      <c r="M234" s="426"/>
      <c r="N234" s="427"/>
      <c r="O234" s="1" t="s">
        <v>1802</v>
      </c>
    </row>
    <row r="235" spans="1:15" ht="20" hidden="1" customHeight="1" x14ac:dyDescent="0.35">
      <c r="A235" s="171" t="s">
        <v>2025</v>
      </c>
      <c r="B235" s="444" t="s">
        <v>2026</v>
      </c>
      <c r="C235" s="426"/>
      <c r="D235" s="426"/>
      <c r="E235" s="426"/>
      <c r="F235" s="426"/>
      <c r="G235" s="426"/>
      <c r="H235" s="426"/>
      <c r="I235" s="426"/>
      <c r="J235" s="426"/>
      <c r="K235" s="426"/>
      <c r="L235" s="426"/>
      <c r="M235" s="426"/>
      <c r="N235" s="427"/>
      <c r="O235" s="1" t="s">
        <v>114</v>
      </c>
    </row>
    <row r="236" spans="1:15" ht="20" hidden="1" customHeight="1" x14ac:dyDescent="0.35">
      <c r="A236" s="171" t="s">
        <v>2046</v>
      </c>
      <c r="B236" s="444" t="s">
        <v>2121</v>
      </c>
      <c r="C236" s="426"/>
      <c r="D236" s="426"/>
      <c r="E236" s="426"/>
      <c r="F236" s="426"/>
      <c r="G236" s="426"/>
      <c r="H236" s="426"/>
      <c r="I236" s="426"/>
      <c r="J236" s="426"/>
      <c r="K236" s="426"/>
      <c r="L236" s="426"/>
      <c r="M236" s="426"/>
      <c r="N236" s="427"/>
      <c r="O236" s="1" t="s">
        <v>1986</v>
      </c>
    </row>
    <row r="237" spans="1:15" ht="20" hidden="1" customHeight="1" x14ac:dyDescent="0.35">
      <c r="A237" s="222" t="s">
        <v>2049</v>
      </c>
      <c r="B237" s="424" t="s">
        <v>2313</v>
      </c>
      <c r="C237" s="424"/>
      <c r="D237" s="424"/>
      <c r="E237" s="424"/>
      <c r="F237" s="424"/>
      <c r="G237" s="424"/>
      <c r="H237" s="424"/>
      <c r="I237" s="424"/>
      <c r="J237" s="424"/>
      <c r="K237" s="424"/>
      <c r="L237" s="424"/>
      <c r="M237" s="424"/>
      <c r="N237" s="424"/>
      <c r="O237" s="13" t="s">
        <v>113</v>
      </c>
    </row>
    <row r="238" spans="1:15" ht="20" hidden="1" customHeight="1" x14ac:dyDescent="0.35">
      <c r="A238" s="222" t="s">
        <v>2051</v>
      </c>
      <c r="B238" s="423" t="s">
        <v>2091</v>
      </c>
      <c r="C238" s="424"/>
      <c r="D238" s="424"/>
      <c r="E238" s="424"/>
      <c r="F238" s="424"/>
      <c r="G238" s="424"/>
      <c r="H238" s="424"/>
      <c r="I238" s="424"/>
      <c r="J238" s="424"/>
      <c r="K238" s="424"/>
      <c r="L238" s="424"/>
      <c r="M238" s="424"/>
      <c r="N238" s="424"/>
      <c r="O238" s="132"/>
    </row>
    <row r="239" spans="1:15" ht="20" hidden="1" customHeight="1" x14ac:dyDescent="0.35">
      <c r="A239" s="222" t="s">
        <v>2064</v>
      </c>
      <c r="B239" s="423" t="s">
        <v>2092</v>
      </c>
      <c r="C239" s="424"/>
      <c r="D239" s="424"/>
      <c r="E239" s="424"/>
      <c r="F239" s="424"/>
      <c r="G239" s="424"/>
      <c r="H239" s="424"/>
      <c r="I239" s="424"/>
      <c r="J239" s="424"/>
      <c r="K239" s="424"/>
      <c r="L239" s="424"/>
      <c r="M239" s="424"/>
      <c r="N239" s="424"/>
      <c r="O239" s="132" t="s">
        <v>2083</v>
      </c>
    </row>
    <row r="240" spans="1:15" ht="20" hidden="1" customHeight="1" x14ac:dyDescent="0.35">
      <c r="A240" s="222" t="s">
        <v>2074</v>
      </c>
      <c r="B240" s="421" t="s">
        <v>2075</v>
      </c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132" t="s">
        <v>114</v>
      </c>
    </row>
    <row r="241" spans="1:15" ht="20" hidden="1" customHeight="1" x14ac:dyDescent="0.35">
      <c r="A241" s="222" t="s">
        <v>2086</v>
      </c>
      <c r="B241" s="421" t="s">
        <v>2282</v>
      </c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132" t="s">
        <v>114</v>
      </c>
    </row>
    <row r="242" spans="1:15" ht="20" hidden="1" customHeight="1" x14ac:dyDescent="0.35">
      <c r="A242" s="222" t="s">
        <v>2105</v>
      </c>
      <c r="B242" s="423" t="s">
        <v>2106</v>
      </c>
      <c r="C242" s="424"/>
      <c r="D242" s="424"/>
      <c r="E242" s="424"/>
      <c r="F242" s="424"/>
      <c r="G242" s="424"/>
      <c r="H242" s="424"/>
      <c r="I242" s="424"/>
      <c r="J242" s="424"/>
      <c r="K242" s="424"/>
      <c r="L242" s="424"/>
      <c r="M242" s="424"/>
      <c r="N242" s="424"/>
      <c r="O242" s="132" t="s">
        <v>2083</v>
      </c>
    </row>
    <row r="243" spans="1:15" ht="20" hidden="1" customHeight="1" x14ac:dyDescent="0.35">
      <c r="A243" s="222" t="s">
        <v>2140</v>
      </c>
      <c r="B243" s="423" t="s">
        <v>2141</v>
      </c>
      <c r="C243" s="424"/>
      <c r="D243" s="424"/>
      <c r="E243" s="424"/>
      <c r="F243" s="424"/>
      <c r="G243" s="424"/>
      <c r="H243" s="424"/>
      <c r="I243" s="424"/>
      <c r="J243" s="424"/>
      <c r="K243" s="424"/>
      <c r="L243" s="424"/>
      <c r="M243" s="424"/>
      <c r="N243" s="424"/>
      <c r="O243" s="132" t="s">
        <v>114</v>
      </c>
    </row>
    <row r="244" spans="1:15" ht="30" hidden="1" customHeight="1" x14ac:dyDescent="0.35">
      <c r="A244" s="222" t="s">
        <v>2154</v>
      </c>
      <c r="B244" s="423" t="s">
        <v>2157</v>
      </c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132" t="s">
        <v>2083</v>
      </c>
    </row>
    <row r="245" spans="1:15" ht="32" hidden="1" customHeight="1" x14ac:dyDescent="0.35">
      <c r="A245" s="222" t="s">
        <v>2155</v>
      </c>
      <c r="B245" s="423" t="s">
        <v>2229</v>
      </c>
      <c r="C245" s="424"/>
      <c r="D245" s="424"/>
      <c r="E245" s="424"/>
      <c r="F245" s="424"/>
      <c r="G245" s="424"/>
      <c r="H245" s="424"/>
      <c r="I245" s="424"/>
      <c r="J245" s="424"/>
      <c r="K245" s="424"/>
      <c r="L245" s="424"/>
      <c r="M245" s="424"/>
      <c r="N245" s="424"/>
      <c r="O245" s="132" t="s">
        <v>2083</v>
      </c>
    </row>
    <row r="246" spans="1:15" ht="23" hidden="1" customHeight="1" x14ac:dyDescent="0.35">
      <c r="A246" s="222" t="s">
        <v>2160</v>
      </c>
      <c r="B246" s="423" t="s">
        <v>2161</v>
      </c>
      <c r="C246" s="424"/>
      <c r="D246" s="424"/>
      <c r="E246" s="424"/>
      <c r="F246" s="424"/>
      <c r="G246" s="424"/>
      <c r="H246" s="424"/>
      <c r="I246" s="424"/>
      <c r="J246" s="424"/>
      <c r="K246" s="424"/>
      <c r="L246" s="424"/>
      <c r="M246" s="424"/>
      <c r="N246" s="424"/>
      <c r="O246" s="132" t="s">
        <v>2184</v>
      </c>
    </row>
    <row r="247" spans="1:15" ht="23" hidden="1" customHeight="1" x14ac:dyDescent="0.35">
      <c r="A247" s="222" t="s">
        <v>2185</v>
      </c>
      <c r="B247" s="423" t="s">
        <v>2194</v>
      </c>
      <c r="C247" s="424"/>
      <c r="D247" s="424"/>
      <c r="E247" s="424"/>
      <c r="F247" s="424"/>
      <c r="G247" s="424"/>
      <c r="H247" s="424"/>
      <c r="I247" s="424"/>
      <c r="J247" s="424"/>
      <c r="K247" s="424"/>
      <c r="L247" s="424"/>
      <c r="M247" s="424"/>
      <c r="N247" s="424"/>
      <c r="O247" s="132" t="s">
        <v>2083</v>
      </c>
    </row>
    <row r="248" spans="1:15" ht="23" hidden="1" customHeight="1" x14ac:dyDescent="0.35">
      <c r="A248" s="222" t="s">
        <v>2186</v>
      </c>
      <c r="B248" s="425" t="s">
        <v>2187</v>
      </c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1" t="s">
        <v>1335</v>
      </c>
    </row>
    <row r="249" spans="1:15" ht="23" hidden="1" customHeight="1" x14ac:dyDescent="0.35">
      <c r="A249" s="222" t="s">
        <v>2195</v>
      </c>
      <c r="B249" s="423" t="s">
        <v>2198</v>
      </c>
      <c r="C249" s="424"/>
      <c r="D249" s="424"/>
      <c r="E249" s="424"/>
      <c r="F249" s="424"/>
      <c r="G249" s="424"/>
      <c r="H249" s="424"/>
      <c r="I249" s="424"/>
      <c r="J249" s="424"/>
      <c r="K249" s="424"/>
      <c r="L249" s="424"/>
      <c r="M249" s="424"/>
      <c r="N249" s="424"/>
      <c r="O249" s="132" t="s">
        <v>212</v>
      </c>
    </row>
    <row r="250" spans="1:15" ht="23" hidden="1" customHeight="1" x14ac:dyDescent="0.35">
      <c r="A250" s="222" t="s">
        <v>2204</v>
      </c>
      <c r="B250" s="444" t="s">
        <v>2205</v>
      </c>
      <c r="C250" s="447"/>
      <c r="D250" s="447"/>
      <c r="E250" s="447"/>
      <c r="F250" s="447"/>
      <c r="G250" s="447"/>
      <c r="H250" s="447"/>
      <c r="I250" s="447"/>
      <c r="J250" s="447"/>
      <c r="K250" s="447"/>
      <c r="L250" s="447"/>
      <c r="M250" s="447"/>
      <c r="N250" s="448"/>
      <c r="O250" s="132"/>
    </row>
    <row r="251" spans="1:15" ht="23" hidden="1" customHeight="1" x14ac:dyDescent="0.35">
      <c r="A251" s="222" t="s">
        <v>2214</v>
      </c>
      <c r="B251" s="424" t="s">
        <v>2216</v>
      </c>
      <c r="C251" s="424"/>
      <c r="D251" s="424"/>
      <c r="E251" s="424"/>
      <c r="F251" s="424"/>
      <c r="G251" s="424"/>
      <c r="H251" s="424"/>
      <c r="I251" s="424"/>
      <c r="J251" s="424"/>
      <c r="K251" s="424"/>
      <c r="L251" s="424"/>
      <c r="M251" s="424"/>
      <c r="N251" s="424"/>
      <c r="O251" s="132" t="s">
        <v>1802</v>
      </c>
    </row>
    <row r="252" spans="1:15" ht="20" hidden="1" customHeight="1" x14ac:dyDescent="0.35">
      <c r="A252" s="79" t="s">
        <v>2230</v>
      </c>
      <c r="B252" s="424" t="s">
        <v>2231</v>
      </c>
      <c r="C252" s="424"/>
      <c r="D252" s="424"/>
      <c r="E252" s="424"/>
      <c r="F252" s="424"/>
      <c r="G252" s="424"/>
      <c r="H252" s="424"/>
      <c r="I252" s="424"/>
      <c r="J252" s="424"/>
      <c r="K252" s="424"/>
      <c r="L252" s="424"/>
      <c r="M252" s="424"/>
      <c r="N252" s="424"/>
      <c r="O252" s="1" t="s">
        <v>1802</v>
      </c>
    </row>
    <row r="253" spans="1:15" ht="20" hidden="1" customHeight="1" x14ac:dyDescent="0.35">
      <c r="A253" s="222" t="s">
        <v>2237</v>
      </c>
      <c r="B253" s="423" t="s">
        <v>2238</v>
      </c>
      <c r="C253" s="424"/>
      <c r="D253" s="424"/>
      <c r="E253" s="424"/>
      <c r="F253" s="424"/>
      <c r="G253" s="424"/>
      <c r="H253" s="424"/>
      <c r="I253" s="424"/>
      <c r="J253" s="424"/>
      <c r="K253" s="424"/>
      <c r="L253" s="424"/>
      <c r="M253" s="424"/>
      <c r="N253" s="424"/>
      <c r="O253" s="132" t="s">
        <v>114</v>
      </c>
    </row>
    <row r="254" spans="1:15" ht="20" hidden="1" customHeight="1" x14ac:dyDescent="0.35">
      <c r="A254" s="222" t="s">
        <v>2239</v>
      </c>
      <c r="B254" s="444" t="s">
        <v>2243</v>
      </c>
      <c r="C254" s="447"/>
      <c r="D254" s="447"/>
      <c r="E254" s="447"/>
      <c r="F254" s="447"/>
      <c r="G254" s="447"/>
      <c r="H254" s="447"/>
      <c r="I254" s="447"/>
      <c r="J254" s="447"/>
      <c r="K254" s="447"/>
      <c r="L254" s="447"/>
      <c r="M254" s="447"/>
      <c r="N254" s="448"/>
      <c r="O254" s="132"/>
    </row>
    <row r="255" spans="1:15" ht="20" hidden="1" customHeight="1" x14ac:dyDescent="0.35">
      <c r="A255" s="222" t="s">
        <v>2262</v>
      </c>
      <c r="B255" s="421" t="s">
        <v>2261</v>
      </c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1"/>
    </row>
    <row r="256" spans="1:15" ht="20" hidden="1" customHeight="1" x14ac:dyDescent="0.35">
      <c r="A256" s="222" t="s">
        <v>2273</v>
      </c>
      <c r="B256" s="421" t="s">
        <v>2274</v>
      </c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1" t="s">
        <v>2314</v>
      </c>
    </row>
    <row r="257" spans="1:16" ht="20" hidden="1" customHeight="1" x14ac:dyDescent="0.35">
      <c r="A257" s="222" t="s">
        <v>2315</v>
      </c>
      <c r="B257" s="428" t="s">
        <v>2316</v>
      </c>
      <c r="C257" s="428"/>
      <c r="D257" s="428"/>
      <c r="E257" s="428"/>
      <c r="F257" s="428"/>
      <c r="G257" s="428"/>
      <c r="H257" s="428"/>
      <c r="I257" s="428"/>
      <c r="J257" s="428"/>
      <c r="K257" s="428"/>
      <c r="L257" s="428"/>
      <c r="M257" s="428"/>
      <c r="N257" s="428"/>
      <c r="O257" s="1"/>
    </row>
    <row r="258" spans="1:16" ht="18.5" x14ac:dyDescent="0.45"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25"/>
      <c r="P258" s="25"/>
    </row>
    <row r="259" spans="1:16" ht="18.5" x14ac:dyDescent="0.45">
      <c r="B259" s="17"/>
      <c r="C259" s="17"/>
      <c r="D259" s="445"/>
      <c r="E259" s="445"/>
      <c r="F259" s="445"/>
      <c r="G259" s="76"/>
      <c r="H259" s="82"/>
      <c r="I259" s="446" t="s">
        <v>460</v>
      </c>
      <c r="J259" s="446"/>
      <c r="K259" s="150"/>
      <c r="N259" s="449"/>
      <c r="O259" s="449"/>
      <c r="P259" s="449"/>
    </row>
    <row r="260" spans="1:16" ht="18.5" x14ac:dyDescent="0.45">
      <c r="B260" s="76"/>
      <c r="C260" s="76"/>
      <c r="D260" s="194"/>
      <c r="E260" s="194"/>
      <c r="F260" s="194"/>
      <c r="G260" s="76"/>
      <c r="H260" s="56"/>
      <c r="I260" s="56"/>
      <c r="J260" s="56"/>
      <c r="K260" s="190"/>
      <c r="N260" s="449"/>
      <c r="O260" s="449"/>
      <c r="P260" s="449"/>
    </row>
    <row r="261" spans="1:16" ht="18.5" x14ac:dyDescent="0.45">
      <c r="B261" s="153"/>
      <c r="C261" s="198" t="s">
        <v>1322</v>
      </c>
      <c r="D261" s="147"/>
      <c r="E261" s="147"/>
      <c r="F261" s="147"/>
      <c r="G261" s="76"/>
      <c r="H261" s="56"/>
      <c r="I261" s="56"/>
      <c r="J261" s="56"/>
      <c r="K261" s="190"/>
    </row>
    <row r="262" spans="1:16" ht="18.5" x14ac:dyDescent="0.45">
      <c r="B262" s="17"/>
      <c r="C262" s="17" t="s">
        <v>827</v>
      </c>
      <c r="D262" s="445" t="str">
        <f>VLOOKUP(C262,'Sales Master'!B$3:D$530,2,)</f>
        <v>Atap Seeds in Syrup 亚嗒子</v>
      </c>
      <c r="E262" s="445"/>
      <c r="F262" s="445"/>
      <c r="G262" s="76">
        <v>1</v>
      </c>
      <c r="H262" s="82" t="str">
        <f>VLOOKUP(C262,'Sales Master'!$B$3:$F$2413,5,0)</f>
        <v>20 kgs/tin</v>
      </c>
      <c r="I262" s="446" t="str">
        <f>VLOOKUP(C262,'Sales Master'!$B$3:$E$2413,4,0)</f>
        <v>2P</v>
      </c>
      <c r="J262" s="446"/>
      <c r="K262" s="190">
        <v>64</v>
      </c>
    </row>
    <row r="263" spans="1:16" ht="18.5" x14ac:dyDescent="0.45">
      <c r="B263" s="17"/>
      <c r="C263" s="17" t="s">
        <v>828</v>
      </c>
      <c r="D263" s="445" t="str">
        <f>VLOOKUP(C263,'Sales Master'!B$3:D$530,2,)</f>
        <v>Atap Seeds in Syrup 亚嗒子</v>
      </c>
      <c r="E263" s="445"/>
      <c r="F263" s="445"/>
      <c r="G263" s="76">
        <v>1</v>
      </c>
      <c r="H263" s="82" t="str">
        <f>VLOOKUP(C263,'Sales Master'!$B$3:$F$2413,5,0)</f>
        <v>NW(2.1:0.9) 3kg/ Bag包</v>
      </c>
      <c r="I263" s="446" t="str">
        <f>VLOOKUP(C263,'Sales Master'!$B$3:$E$2413,4,0)</f>
        <v>DO!</v>
      </c>
      <c r="J263" s="446"/>
      <c r="K263" s="190">
        <v>11.5</v>
      </c>
    </row>
    <row r="264" spans="1:16" ht="18.5" x14ac:dyDescent="0.45">
      <c r="C264" s="17"/>
      <c r="D264" s="445"/>
      <c r="E264" s="445"/>
      <c r="F264" s="445"/>
      <c r="G264" s="76"/>
      <c r="H264" s="82"/>
      <c r="I264" s="446"/>
      <c r="J264" s="446"/>
      <c r="K264" s="190"/>
    </row>
    <row r="267" spans="1:16" ht="18.5" x14ac:dyDescent="0.45">
      <c r="C267" s="18" t="s">
        <v>1244</v>
      </c>
    </row>
    <row r="268" spans="1:16" ht="18.5" x14ac:dyDescent="0.45">
      <c r="C268" s="147" t="s">
        <v>1383</v>
      </c>
    </row>
    <row r="269" spans="1:16" ht="18.5" x14ac:dyDescent="0.45">
      <c r="C269" s="147" t="s">
        <v>1330</v>
      </c>
    </row>
  </sheetData>
  <autoFilter ref="A3:Z257" xr:uid="{E52E15A4-4168-4F9C-96D9-52BC99476150}">
    <filterColumn colId="1" showButton="0">
      <filters>
        <filter val="Koufu -  Dim Sum                                          9 Tampines Street 32,   Tampines Mart. Singapore 529287."/>
        <filter val="Koufu -  Drink                                              9 Tampines Street 32,   Tampines Mart. Singapore 529287."/>
        <filter val="Koufu - Dessert                                             9, Tampines Street 32,   Tampines Mart. Singapore 529287.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64">
    <mergeCell ref="B250:N250"/>
    <mergeCell ref="B189:N189"/>
    <mergeCell ref="B190:N190"/>
    <mergeCell ref="B193:N193"/>
    <mergeCell ref="B191:N191"/>
    <mergeCell ref="B192:N192"/>
    <mergeCell ref="B194:N194"/>
    <mergeCell ref="B196:N196"/>
    <mergeCell ref="B197:N197"/>
    <mergeCell ref="B213:N213"/>
    <mergeCell ref="B198:N198"/>
    <mergeCell ref="B202:N202"/>
    <mergeCell ref="B201:N201"/>
    <mergeCell ref="B200:N200"/>
    <mergeCell ref="B199:N199"/>
    <mergeCell ref="B208:N208"/>
    <mergeCell ref="B204:N204"/>
    <mergeCell ref="B203:N203"/>
    <mergeCell ref="B206:N206"/>
    <mergeCell ref="B207:N207"/>
    <mergeCell ref="B205:N205"/>
    <mergeCell ref="B210:N210"/>
    <mergeCell ref="B211:N211"/>
    <mergeCell ref="B212:N212"/>
    <mergeCell ref="B215:N215"/>
    <mergeCell ref="B216:N216"/>
    <mergeCell ref="B214:N214"/>
    <mergeCell ref="B228:N228"/>
    <mergeCell ref="B227:N227"/>
    <mergeCell ref="N259:P259"/>
    <mergeCell ref="N260:P260"/>
    <mergeCell ref="B258:N258"/>
    <mergeCell ref="B232:N232"/>
    <mergeCell ref="B257:N257"/>
    <mergeCell ref="B241:N241"/>
    <mergeCell ref="B242:N242"/>
    <mergeCell ref="B246:N246"/>
    <mergeCell ref="B247:N247"/>
    <mergeCell ref="B243:N243"/>
    <mergeCell ref="B244:N244"/>
    <mergeCell ref="B245:N245"/>
    <mergeCell ref="B233:N233"/>
    <mergeCell ref="B234:N234"/>
    <mergeCell ref="B235:N235"/>
    <mergeCell ref="B236:N236"/>
    <mergeCell ref="B237:N237"/>
    <mergeCell ref="B252:N252"/>
    <mergeCell ref="B230:N230"/>
    <mergeCell ref="D264:F264"/>
    <mergeCell ref="I264:J264"/>
    <mergeCell ref="D259:F259"/>
    <mergeCell ref="I259:J259"/>
    <mergeCell ref="D262:F262"/>
    <mergeCell ref="I262:J262"/>
    <mergeCell ref="D263:F263"/>
    <mergeCell ref="I263:J263"/>
    <mergeCell ref="B253:N253"/>
    <mergeCell ref="B254:N254"/>
    <mergeCell ref="B255:N255"/>
    <mergeCell ref="B256:N256"/>
    <mergeCell ref="B231:N231"/>
    <mergeCell ref="B229:N229"/>
    <mergeCell ref="B239:N239"/>
    <mergeCell ref="B240:N240"/>
    <mergeCell ref="B248:N248"/>
    <mergeCell ref="B249:N249"/>
    <mergeCell ref="B177:N177"/>
    <mergeCell ref="B182:N182"/>
    <mergeCell ref="B185:N185"/>
    <mergeCell ref="B184:N184"/>
    <mergeCell ref="B195:N195"/>
    <mergeCell ref="B217:N217"/>
    <mergeCell ref="B218:N218"/>
    <mergeCell ref="B219:N219"/>
    <mergeCell ref="B220:N220"/>
    <mergeCell ref="B221:N221"/>
    <mergeCell ref="B222:N222"/>
    <mergeCell ref="B223:N223"/>
    <mergeCell ref="B224:N224"/>
    <mergeCell ref="B225:N225"/>
    <mergeCell ref="B226:N226"/>
    <mergeCell ref="B238:N238"/>
    <mergeCell ref="B209:N209"/>
    <mergeCell ref="B188:N188"/>
    <mergeCell ref="B187:N18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3:N173"/>
    <mergeCell ref="B174:N174"/>
    <mergeCell ref="B175:N175"/>
    <mergeCell ref="B176:N176"/>
    <mergeCell ref="B172:N172"/>
    <mergeCell ref="B57:N57"/>
    <mergeCell ref="B133:N133"/>
    <mergeCell ref="B144:N144"/>
    <mergeCell ref="B141:N141"/>
    <mergeCell ref="B139:N139"/>
    <mergeCell ref="B138:N138"/>
    <mergeCell ref="B54:N54"/>
    <mergeCell ref="B115:N115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11:N111"/>
    <mergeCell ref="B142:N142"/>
    <mergeCell ref="B137:N137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6:N6"/>
    <mergeCell ref="B7:N7"/>
    <mergeCell ref="B9:N9"/>
    <mergeCell ref="B11:N11"/>
    <mergeCell ref="B10:N10"/>
    <mergeCell ref="B26:N26"/>
    <mergeCell ref="B20:N20"/>
    <mergeCell ref="B23:N23"/>
    <mergeCell ref="B12:N12"/>
    <mergeCell ref="B15:N15"/>
    <mergeCell ref="B25:N25"/>
    <mergeCell ref="B21:N21"/>
    <mergeCell ref="B47:N47"/>
    <mergeCell ref="B39:N39"/>
    <mergeCell ref="B49:N49"/>
    <mergeCell ref="B32:N32"/>
    <mergeCell ref="B24:N24"/>
    <mergeCell ref="B16:N16"/>
    <mergeCell ref="B13:N13"/>
    <mergeCell ref="B17:N17"/>
    <mergeCell ref="B22:N22"/>
    <mergeCell ref="B18:N18"/>
    <mergeCell ref="B19:N19"/>
    <mergeCell ref="B48:N48"/>
    <mergeCell ref="B42:N42"/>
    <mergeCell ref="B14:N14"/>
    <mergeCell ref="B52:N52"/>
    <mergeCell ref="B51:N51"/>
    <mergeCell ref="B28:N28"/>
    <mergeCell ref="B29:N29"/>
    <mergeCell ref="B30:N30"/>
    <mergeCell ref="B46:N46"/>
    <mergeCell ref="B73:N73"/>
    <mergeCell ref="B64:N64"/>
    <mergeCell ref="B68:N68"/>
    <mergeCell ref="B69:N69"/>
    <mergeCell ref="B65:N65"/>
    <mergeCell ref="B66:N66"/>
    <mergeCell ref="B67:N67"/>
    <mergeCell ref="B70:N70"/>
    <mergeCell ref="B71:N71"/>
    <mergeCell ref="B58:N58"/>
    <mergeCell ref="B56:N56"/>
    <mergeCell ref="B53:N53"/>
    <mergeCell ref="B63:N63"/>
    <mergeCell ref="B62:N62"/>
    <mergeCell ref="B61:N61"/>
    <mergeCell ref="B60:N60"/>
    <mergeCell ref="B55:N55"/>
    <mergeCell ref="B59:N59"/>
    <mergeCell ref="B72:N72"/>
    <mergeCell ref="B86:N86"/>
    <mergeCell ref="B78:N78"/>
    <mergeCell ref="B77:N77"/>
    <mergeCell ref="B75:N75"/>
    <mergeCell ref="B74:N74"/>
    <mergeCell ref="B79:N79"/>
    <mergeCell ref="B81:N81"/>
    <mergeCell ref="B85:N85"/>
    <mergeCell ref="B82:N82"/>
    <mergeCell ref="B83:N83"/>
    <mergeCell ref="B162:N162"/>
    <mergeCell ref="B159:N159"/>
    <mergeCell ref="B135:N135"/>
    <mergeCell ref="B134:N134"/>
    <mergeCell ref="B157:N157"/>
    <mergeCell ref="B156:N156"/>
    <mergeCell ref="B158:N158"/>
    <mergeCell ref="B161:N161"/>
    <mergeCell ref="B160:N160"/>
    <mergeCell ref="B145:N145"/>
    <mergeCell ref="B143:N143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94:N94"/>
    <mergeCell ref="B251:N251"/>
    <mergeCell ref="B114:N114"/>
    <mergeCell ref="B76:N76"/>
    <mergeCell ref="B95:N95"/>
    <mergeCell ref="B103:N103"/>
    <mergeCell ref="B98:N98"/>
    <mergeCell ref="B99:N99"/>
    <mergeCell ref="B100:N100"/>
    <mergeCell ref="B84:N84"/>
    <mergeCell ref="B80:N80"/>
    <mergeCell ref="B92:N92"/>
    <mergeCell ref="B93:N93"/>
    <mergeCell ref="B91:N91"/>
    <mergeCell ref="B90:N90"/>
    <mergeCell ref="B89:N89"/>
    <mergeCell ref="B88:N88"/>
    <mergeCell ref="B87:N87"/>
    <mergeCell ref="B131:N131"/>
    <mergeCell ref="B130:N130"/>
    <mergeCell ref="B116:N116"/>
    <mergeCell ref="B124:N124"/>
    <mergeCell ref="B155:N155"/>
    <mergeCell ref="B154:N154"/>
    <mergeCell ref="B105:N105"/>
    <mergeCell ref="B106:N106"/>
    <mergeCell ref="B104:N104"/>
    <mergeCell ref="B102:N102"/>
    <mergeCell ref="B97:N97"/>
    <mergeCell ref="B96:N96"/>
    <mergeCell ref="B101:N101"/>
    <mergeCell ref="B110:N110"/>
    <mergeCell ref="B113:N113"/>
    <mergeCell ref="B112:N112"/>
    <mergeCell ref="B107:N107"/>
    <mergeCell ref="B109:N109"/>
    <mergeCell ref="B108:N108"/>
  </mergeCells>
  <conditionalFormatting sqref="B261:B263">
    <cfRule type="duplicateValues" dxfId="235" priority="1544"/>
  </conditionalFormatting>
  <conditionalFormatting sqref="B262:B263">
    <cfRule type="duplicateValues" dxfId="234" priority="1545"/>
  </conditionalFormatting>
  <conditionalFormatting sqref="C261:C263">
    <cfRule type="duplicateValues" dxfId="233" priority="2"/>
  </conditionalFormatting>
  <conditionalFormatting sqref="C264">
    <cfRule type="duplicateValues" dxfId="232" priority="3"/>
  </conditionalFormatting>
  <hyperlinks>
    <hyperlink ref="A36" location="'#33'!K10" display="ID#33" xr:uid="{9C9CF657-DF61-467D-98F6-1B3953EA60CF}"/>
    <hyperlink ref="A81" location="'#78'!K10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K10" display="ID#04" xr:uid="{770CE230-661A-4AC1-A79D-6E72D1F3979D}"/>
    <hyperlink ref="A6" location="'#03'!K10" display="ID#03" xr:uid="{70022009-7B21-433E-B35D-A70FBB94813D}"/>
    <hyperlink ref="A53" location="'#50'!K10" display="ID#50" xr:uid="{E8F5E0E6-DBB8-4A2A-8F46-84397BFE0718}"/>
    <hyperlink ref="A92" location="'#89'!K10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K10" display="ID#69" xr:uid="{EFCD1BDB-AB02-4F1A-9066-ECA0D333C6EB}"/>
    <hyperlink ref="A99" location="'#96'!A1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Print_Area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K10" display="ID#01" xr:uid="{8D537EC5-BC43-4141-8EE5-D0A4BB3D7AB5}"/>
    <hyperlink ref="A5" location="'#02'!K10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K10" display="ID#64" xr:uid="{747B7E96-B312-4DDA-AFC7-6056AD8A1369}"/>
    <hyperlink ref="A24" location="'#21'!K10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4" location="'#112'!A1" display="ID#112" xr:uid="{F8979F58-21F2-4E8E-85BF-C219DC471C03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K10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K10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K10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K10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A1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A1" display="ID#202" xr:uid="{247352B5-EFD4-4496-84A5-9ECF2252344D}"/>
    <hyperlink ref="A205" location="'#203'!A1" display="ID#203" xr:uid="{011F9AEA-0CB6-4A75-9ABB-95E785FF8B18}"/>
    <hyperlink ref="A206" location="'#204'!A1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K10" display="ID#210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  <hyperlink ref="A113" location="'#111'!A1" display="ID#111" xr:uid="{1D0554B2-6066-4345-B5CB-724FCE26283B}"/>
    <hyperlink ref="A219" location="'#217'!A1" display="ID#217" xr:uid="{802B65D9-129B-436C-9535-BC83357E4799}"/>
    <hyperlink ref="A220" location="'#218'!A1" display="ID#218" xr:uid="{9D42EFD7-32AF-4DE0-91CA-6B7913BAB649}"/>
    <hyperlink ref="A221" location="'#219'!A1" display="ID#219" xr:uid="{BF181B20-5AA8-4F48-9080-98FBA3F60695}"/>
    <hyperlink ref="A164" location="'#162'!A1" display="ID#162" xr:uid="{D4E6F91F-FE52-4129-A1F9-D546186DD6E3}"/>
    <hyperlink ref="A50" location="'#47'!A1" display="ID#47" xr:uid="{955023AA-66CA-4BAA-B4CF-7220D27A8920}"/>
    <hyperlink ref="A222" location="'#219'!A1" display="ID#219" xr:uid="{298AC81D-99E8-4166-A75A-993414D2ED45}"/>
    <hyperlink ref="A223" location="'#221'!A1" display="ID#221" xr:uid="{E43864BF-D4A3-4FD1-AD63-6F5EF0BC07F9}"/>
    <hyperlink ref="A224" location="'#222'!A1" display="ID#222" xr:uid="{F436EEC8-6218-4BB0-8F9C-45E929141787}"/>
    <hyperlink ref="A225" location="'#223'!Print_Area" display="ID#223" xr:uid="{B716B74C-2C4C-466F-86C5-65D5432E9311}"/>
    <hyperlink ref="A226" location="'#224'!A1" display="ID#224" xr:uid="{CB0AF527-4223-4CB4-A7A9-2A2A6EC5C5AA}"/>
    <hyperlink ref="A102" location="'#100'!A1" display="ID#100" xr:uid="{77935478-7681-4F40-8382-99E32E23ECBD}"/>
    <hyperlink ref="A178" location="'#176'!A1" display="ID#176" xr:uid="{91585A2D-B09D-4FB4-9AB4-18F05383A010}"/>
    <hyperlink ref="A227" location="'#225'!A1" display="ID#225" xr:uid="{27E3F456-34F5-4D9D-84DD-0FE9D13CF168}"/>
    <hyperlink ref="A228" location="'#226'!A1" display="ID#226" xr:uid="{B90CCE49-1BBA-4E8F-BD0F-C0FAEC9E9595}"/>
    <hyperlink ref="A127" location="'#125'!Print_Area" display="ID#125" xr:uid="{94619B87-586C-4FD0-B030-45884A6AB8D3}"/>
    <hyperlink ref="A229" location="'#227'!A1" display="ID#227" xr:uid="{86C6B093-2C88-4448-9134-BF43A171B1FD}"/>
    <hyperlink ref="A230" location="'#228'!K10" display="ID#228" xr:uid="{550AC48F-EAD8-4362-B84B-E0D744B1D1E8}"/>
    <hyperlink ref="A231" location="'#229'!K10" display="ID#229" xr:uid="{E7E0E409-8C8B-4839-8D5F-3913DD904B7B}"/>
    <hyperlink ref="A232" location="'#230'!K10" display="ID#230" xr:uid="{4D1929DC-9950-4982-BF9C-E348FB3BB145}"/>
    <hyperlink ref="A233" location="'#231'!K10" display="ID#231" xr:uid="{FC0F2DA4-1455-4FE2-ACED-4A59FDBE32FF}"/>
    <hyperlink ref="A234" location="'#232'!K10" display="ID#232" xr:uid="{6639728B-B40E-4236-A51A-E25160E5919E}"/>
    <hyperlink ref="A235" location="'#233'!K10" display="ID#233" xr:uid="{05108D41-3F22-4475-BF62-883DC9E6D832}"/>
    <hyperlink ref="A236" location="'#234'!K10" display="ID#234" xr:uid="{DDD66D87-7A19-4B20-8341-CBD0B96DCB1D}"/>
    <hyperlink ref="A237" location="'#235'!A1" display="ID#235" xr:uid="{011B8758-840F-4C73-AF49-681877AB89E5}"/>
    <hyperlink ref="A238" location="'#236'!K10" display="ID#236" xr:uid="{66B92072-85AF-45AE-B3C6-E7D274629035}"/>
    <hyperlink ref="A239" location="'#237'!K10" display="ID#237" xr:uid="{5A23A90B-6D83-4D72-9296-0496082B0692}"/>
    <hyperlink ref="A240" location="'#238'!K10" display="ID#238" xr:uid="{1AF33193-9436-43AE-8DF9-84A5E14004A8}"/>
    <hyperlink ref="A241" location="'#239'!K10" display="ID#239" xr:uid="{0CD04315-C42C-4B43-91AC-C08C2EAD7729}"/>
    <hyperlink ref="A242" location="'#240'!K10" display="ID#240" xr:uid="{0134417D-5B16-41D7-B300-ECC31AF780A5}"/>
    <hyperlink ref="A243" location="'#241'!K10" display="ID#241" xr:uid="{E128C8F3-2842-4740-B75C-48C0AEE860D9}"/>
    <hyperlink ref="A244" location="'#242'!K10" display="ID#242" xr:uid="{9644F597-821F-4F87-8491-FB9CDA05FB3E}"/>
    <hyperlink ref="A245" location="'#243'!K10" display="ID#243" xr:uid="{E5B553D2-2898-4851-A383-A57BE9E203F4}"/>
    <hyperlink ref="A65" location="'#62'!Print_Area" display="ID#62" xr:uid="{CEAF27B3-290B-4CD1-A44B-AEE046B249F4}"/>
    <hyperlink ref="A246" location="'#244'!K10" display="ID#244" xr:uid="{81215095-600F-4C40-B03B-61456B5FF63E}"/>
    <hyperlink ref="A247" location="'#245'!K10" display="ID#245" xr:uid="{09F67BFB-7DCA-4454-B4B2-2AF3309E442F}"/>
    <hyperlink ref="A248" location="'#246'!A1" display="ID#246" xr:uid="{E512206D-AB54-4AAB-9F12-7CC816AE8E51}"/>
    <hyperlink ref="A249" location="'#247'!K10" display="ID#247" xr:uid="{3639E9B5-38DB-4DD6-8894-8274A335663F}"/>
    <hyperlink ref="A250" location="'#248'!K10" display="ID#248" xr:uid="{09CC4808-8F8A-4705-96DA-0C481645E625}"/>
    <hyperlink ref="A137" location="'#135'!Print_Area" display="ID#135" xr:uid="{401971DF-C727-4CBC-8430-541C9AA23B72}"/>
    <hyperlink ref="A251" location="'#249'!K10" display="ID#249" xr:uid="{B958E6CA-72A4-4C70-9C8B-339B03340AA4}"/>
    <hyperlink ref="A252" location="'#250'!A1" display="ID#250" xr:uid="{3294757A-74B2-4D65-B7E3-83CCE63B0370}"/>
    <hyperlink ref="A253" location="'#251'!K10" display="ID#251" xr:uid="{06593947-93F9-49AE-BCBD-68D03C8911E8}"/>
    <hyperlink ref="A257" location="'#255'!K10" display="ID#255" xr:uid="{6E53E961-3F19-4509-BF38-B1F4208A73A8}"/>
    <hyperlink ref="A254" location="'#252'!K10" display="ID#252" xr:uid="{78DC2DAD-2666-469F-8AB6-CF6D719035F0}"/>
    <hyperlink ref="A166" location="'#164'!A1" display="ID#164" xr:uid="{99E7460C-848A-4B9A-9D2A-78538032252A}"/>
    <hyperlink ref="A255" location="'#253'!K10" display="ID#253" xr:uid="{BB58FF37-48D0-4C04-B917-4AE7883ACC14}"/>
    <hyperlink ref="A256" location="'#254'!K10" display="ID#254" xr:uid="{79637EC1-1790-4840-9914-6CCDC8A9F9EF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40"/>
  <sheetViews>
    <sheetView topLeftCell="A7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129</v>
      </c>
      <c r="J10" s="24" t="s">
        <v>27</v>
      </c>
      <c r="K10" s="493">
        <v>202410623</v>
      </c>
      <c r="L10" s="494"/>
    </row>
    <row r="11" spans="2:12" ht="20.149999999999999" customHeight="1" x14ac:dyDescent="0.45">
      <c r="B11" s="477" t="s">
        <v>1107</v>
      </c>
      <c r="C11" s="478"/>
      <c r="D11" s="479"/>
      <c r="E11" s="25"/>
      <c r="F11" s="480" t="str">
        <f>VLOOKUP(H10,'Delivery Location'!A$4:N$460,2,0)</f>
        <v>S111 Pte Ltd                                             26A, Kallang Place. Singapore 339212</v>
      </c>
      <c r="G11" s="481"/>
      <c r="H11" s="482"/>
      <c r="J11" s="26" t="s">
        <v>9</v>
      </c>
      <c r="K11" s="495">
        <v>45593</v>
      </c>
      <c r="L11" s="496"/>
    </row>
    <row r="12" spans="2:12" ht="20.149999999999999" customHeight="1" x14ac:dyDescent="0.45">
      <c r="B12" s="488" t="s">
        <v>381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559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 t="s">
        <v>560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382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2148</v>
      </c>
      <c r="D18" s="461" t="str">
        <f>VLOOKUP(C18,'Sales Master'!B$3:D$530,2,)</f>
        <v>Chin Chow  仙草</v>
      </c>
      <c r="E18" s="461"/>
      <c r="F18" s="461"/>
      <c r="G18" s="76">
        <v>16</v>
      </c>
      <c r="H18" s="186" t="str">
        <f>VLOOKUP(C18,'Sales Master'!$B$3:$F$2481,5,0)</f>
        <v>1 KG/ Pkt包</v>
      </c>
      <c r="I18" s="497" t="str">
        <f>VLOOKUP(C18,'Sales Master'!$B$3:$E$2481,4,0)</f>
        <v>TSM</v>
      </c>
      <c r="J18" s="497"/>
      <c r="K18" s="80">
        <f>VLOOKUP(C18,'Sales Master'!B$3:S$530,18,0)</f>
        <v>1.5</v>
      </c>
      <c r="L18" s="64">
        <f>K18*G18</f>
        <v>24</v>
      </c>
      <c r="M18" s="65"/>
      <c r="N18" s="145">
        <f>VLOOKUP(C18,'Sales Master'!$B$3:$DA$2272,104,0)</f>
        <v>1</v>
      </c>
      <c r="O18" s="145">
        <f>K18-N18</f>
        <v>0.5</v>
      </c>
      <c r="P18" s="145">
        <f>O18*G18</f>
        <v>8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491"/>
      <c r="J19" s="491"/>
      <c r="K19" s="80"/>
      <c r="L19" s="64"/>
      <c r="M19" s="65"/>
    </row>
    <row r="20" spans="2:16" ht="20.149999999999999" customHeight="1" x14ac:dyDescent="0.45">
      <c r="B20" s="29"/>
      <c r="C20" s="17"/>
      <c r="G20" s="76"/>
      <c r="H20" s="56"/>
      <c r="I20" s="491"/>
      <c r="J20" s="491"/>
      <c r="K20" s="80"/>
      <c r="L20" s="64"/>
      <c r="M20" s="65"/>
    </row>
    <row r="21" spans="2:16" ht="20.149999999999999" customHeight="1" x14ac:dyDescent="0.45">
      <c r="B21" s="29"/>
      <c r="C21" s="17"/>
      <c r="G21" s="76"/>
      <c r="H21" s="56"/>
      <c r="I21" s="491"/>
      <c r="J21" s="491"/>
      <c r="K21" s="80"/>
      <c r="L21" s="64"/>
      <c r="M21" s="65"/>
    </row>
    <row r="22" spans="2:16" ht="20.149999999999999" customHeight="1" x14ac:dyDescent="0.45">
      <c r="B22" s="29"/>
      <c r="C22" s="17"/>
      <c r="G22" s="76"/>
      <c r="H22" s="56"/>
      <c r="I22" s="491"/>
      <c r="J22" s="491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80"/>
      <c r="L25" s="64"/>
      <c r="M25" s="65"/>
    </row>
    <row r="26" spans="2:16" ht="20.149999999999999" customHeight="1" thickBot="1" x14ac:dyDescent="0.5">
      <c r="B26" s="32"/>
      <c r="C26" s="33"/>
      <c r="D26" s="490"/>
      <c r="E26" s="490"/>
      <c r="F26" s="490"/>
      <c r="G26" s="33"/>
      <c r="H26" s="57"/>
      <c r="I26" s="474"/>
      <c r="J26" s="474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SUM(L17:L25)</f>
        <v>24</v>
      </c>
      <c r="M28" s="63">
        <f>SUM(P18:P26)</f>
        <v>8</v>
      </c>
      <c r="N28" s="133">
        <f>M28/L28</f>
        <v>0.33333333333333331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24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2.16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26.16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3">
    <mergeCell ref="J32:K32"/>
    <mergeCell ref="D26:F26"/>
    <mergeCell ref="I26:J26"/>
    <mergeCell ref="J28:K28"/>
    <mergeCell ref="J30:K30"/>
    <mergeCell ref="D23:F23"/>
    <mergeCell ref="I23:J23"/>
    <mergeCell ref="D25:F25"/>
    <mergeCell ref="I25:J25"/>
    <mergeCell ref="D24:F24"/>
    <mergeCell ref="I24:J24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15A-9BEB-494F-8C98-7CBD5DBD68BE}">
  <sheetPr>
    <tabColor rgb="FFFFC000"/>
    <pageSetUpPr fitToPage="1"/>
  </sheetPr>
  <dimension ref="B1:S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1980</v>
      </c>
      <c r="J10" s="24" t="s">
        <v>27</v>
      </c>
      <c r="K10" s="493">
        <v>202404085</v>
      </c>
      <c r="L10" s="494"/>
    </row>
    <row r="11" spans="2:14" ht="20.149999999999999" customHeight="1" x14ac:dyDescent="0.45">
      <c r="B11" s="477" t="s">
        <v>1981</v>
      </c>
      <c r="C11" s="478"/>
      <c r="D11" s="479"/>
      <c r="E11" s="25"/>
      <c r="F11" s="480" t="str">
        <f>VLOOKUP(H10,'Delivery Location'!A$4:N$460,2,0)</f>
        <v>NINE FRESH                                                       8A Admiralty Street                              Food Exchange #02-29                     Singapore 757437</v>
      </c>
      <c r="G11" s="481"/>
      <c r="H11" s="482"/>
      <c r="J11" s="26" t="s">
        <v>9</v>
      </c>
      <c r="K11" s="495">
        <v>45384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878</v>
      </c>
      <c r="D18" s="461" t="str">
        <f>VLOOKUP(C18,'Sales Master'!B$3:D$530,2,)</f>
        <v>Small Sago 小丸</v>
      </c>
      <c r="E18" s="461"/>
      <c r="F18" s="461"/>
      <c r="G18" s="76">
        <v>50</v>
      </c>
      <c r="H18" s="186" t="str">
        <f>VLOOKUP(C18,'Sales Master'!$B$3:$F$2481,5,0)</f>
        <v>1 KG</v>
      </c>
      <c r="I18" s="497" t="str">
        <f>VLOOKUP(C18,'Sales Master'!$B$3:$E$2481,4,0)</f>
        <v>-</v>
      </c>
      <c r="J18" s="497"/>
      <c r="K18" s="30">
        <f>VLOOKUP(C18,'Sales Master'!B$3:CJ$530,87,0)</f>
        <v>2.1</v>
      </c>
      <c r="L18" s="64">
        <f>K18*G18</f>
        <v>105</v>
      </c>
      <c r="M18" s="65"/>
      <c r="N18" s="145">
        <f>VLOOKUP(C18,'Sales Master'!$B$3:$DA$2272,104,0)</f>
        <v>1.4666666666666666</v>
      </c>
      <c r="O18" s="145">
        <f>K18-N18</f>
        <v>0.63333333333333353</v>
      </c>
      <c r="P18" s="145">
        <f>O18*G18</f>
        <v>31.666666666666675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105</v>
      </c>
      <c r="M30" s="63">
        <f>SUM(P18:P28)</f>
        <v>31.666666666666675</v>
      </c>
      <c r="N30" s="133">
        <f>M30/L30</f>
        <v>0.30158730158730168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9.4499999999999993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114.45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71A2-F127-4950-B2F5-6F13AB4DA27B}">
  <sheetPr>
    <tabColor rgb="FFFFC000"/>
    <pageSetUpPr fitToPage="1"/>
  </sheetPr>
  <dimension ref="B1:P48"/>
  <sheetViews>
    <sheetView topLeftCell="A14" zoomScaleNormal="100" workbookViewId="0">
      <selection activeCell="I19" sqref="I19:J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1987</v>
      </c>
      <c r="J10" s="24" t="s">
        <v>27</v>
      </c>
      <c r="K10" s="493">
        <v>202501176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Dessert                                               100 Bukit Timah Rd, #01-28                    KK Hospital, Singapore 229899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1</v>
      </c>
      <c r="H18" s="186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30">
        <f>VLOOKUP(C18,'Sales Master'!$B$3:$CN$530,91,0)</f>
        <v>6.5</v>
      </c>
      <c r="L18" s="64">
        <f t="shared" ref="L18" si="0">K18*G18</f>
        <v>6.5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726</v>
      </c>
      <c r="D19" s="461" t="str">
        <f>VLOOKUP(C19,'Sales Master'!B$3:D$530,2,)</f>
        <v>Durian Puree 榴莲酱</v>
      </c>
      <c r="E19" s="461"/>
      <c r="F19" s="461"/>
      <c r="G19" s="76">
        <v>1</v>
      </c>
      <c r="H19" s="186" t="str">
        <f>VLOOKUP(C19,'Sales Master'!$B$3:$F$2413,5,0)</f>
        <v>1 KG/ Box盒</v>
      </c>
      <c r="I19" s="497" t="str">
        <f>VLOOKUP(C19,'Sales Master'!$B$3:$E$2413,4,0)</f>
        <v>DO!</v>
      </c>
      <c r="J19" s="497"/>
      <c r="K19" s="30">
        <f>VLOOKUP(C19,'Sales Master'!$B$3:$CN$530,91,0)</f>
        <v>7</v>
      </c>
      <c r="L19" s="64">
        <f>K19*G19</f>
        <v>7</v>
      </c>
      <c r="N19" s="145">
        <f>VLOOKUP(C19,'Sales Master'!$B$3:$DA$2272,104,0)</f>
        <v>4.71</v>
      </c>
      <c r="O19" s="145">
        <f>K19-N19</f>
        <v>2.29</v>
      </c>
      <c r="P19" s="145">
        <f>O19*G19</f>
        <v>2.29</v>
      </c>
    </row>
    <row r="20" spans="2:16" ht="20.149999999999999" customHeight="1" x14ac:dyDescent="0.45">
      <c r="B20" s="29"/>
      <c r="C20" s="212" t="s">
        <v>727</v>
      </c>
      <c r="D20" s="461" t="str">
        <f>VLOOKUP(C20,'Sales Master'!B$3:D$530,2,)</f>
        <v>Mango Puree 芒果酱</v>
      </c>
      <c r="E20" s="461"/>
      <c r="F20" s="461"/>
      <c r="G20" s="76">
        <v>5</v>
      </c>
      <c r="H20" s="186" t="str">
        <f>VLOOKUP(C20,'Sales Master'!$B$3:$F$2413,5,0)</f>
        <v>1 KG/ Box盒</v>
      </c>
      <c r="I20" s="497" t="str">
        <f>VLOOKUP(C20,'Sales Master'!$B$3:$E$2413,4,0)</f>
        <v>DO!</v>
      </c>
      <c r="J20" s="497"/>
      <c r="K20" s="30">
        <f>VLOOKUP(C20,'Sales Master'!$B$3:$CN$530,91,0)</f>
        <v>7</v>
      </c>
      <c r="L20" s="64">
        <f>K20*G20</f>
        <v>35</v>
      </c>
      <c r="N20" s="145">
        <f>VLOOKUP(C20,'Sales Master'!$B$3:$DA$2272,104,0)</f>
        <v>2.15</v>
      </c>
      <c r="O20" s="145">
        <f>K20-N20</f>
        <v>4.8499999999999996</v>
      </c>
      <c r="P20" s="145">
        <f>O20*G20</f>
        <v>24.25</v>
      </c>
    </row>
    <row r="21" spans="2:16" ht="20.149999999999999" customHeight="1" x14ac:dyDescent="0.45">
      <c r="B21" s="29"/>
      <c r="C21" s="212" t="s">
        <v>736</v>
      </c>
      <c r="D21" s="461" t="str">
        <f>VLOOKUP(C21,'Sales Master'!B$3:D$530,2,)</f>
        <v>Bobo ChaCha Cubes 摩摩喳喳</v>
      </c>
      <c r="E21" s="461"/>
      <c r="F21" s="461"/>
      <c r="G21" s="76">
        <v>5</v>
      </c>
      <c r="H21" s="186" t="str">
        <f>VLOOKUP(C21,'Sales Master'!$B$3:$F$2413,5,0)</f>
        <v>800 GM/ Bag包</v>
      </c>
      <c r="I21" s="497" t="str">
        <f>VLOOKUP(C21,'Sales Master'!$B$3:$E$2413,4,0)</f>
        <v>DO!</v>
      </c>
      <c r="J21" s="497"/>
      <c r="K21" s="30">
        <f>VLOOKUP(C21,'Sales Master'!$B$3:$CN$530,91,0)</f>
        <v>6</v>
      </c>
      <c r="L21" s="64">
        <f>K21*G21</f>
        <v>30</v>
      </c>
      <c r="N21" s="145">
        <f>VLOOKUP(C21,'Sales Master'!$B$3:$DA$2272,104,0)</f>
        <v>0.89</v>
      </c>
      <c r="O21" s="145">
        <f>K21-N21</f>
        <v>5.1100000000000003</v>
      </c>
      <c r="P21" s="145">
        <f>O21*G21</f>
        <v>25.55</v>
      </c>
    </row>
    <row r="22" spans="2:16" ht="20.149999999999999" customHeight="1" x14ac:dyDescent="0.45">
      <c r="B22" s="29"/>
      <c r="C22" s="212" t="s">
        <v>810</v>
      </c>
      <c r="D22" s="461" t="str">
        <f>VLOOKUP(C22,'Sales Master'!B$3:D$530,2,)</f>
        <v>Tapioca Flour 茨粉</v>
      </c>
      <c r="E22" s="461"/>
      <c r="F22" s="461"/>
      <c r="G22" s="76">
        <v>10</v>
      </c>
      <c r="H22" s="186" t="str">
        <f>VLOOKUP(C22,'Sales Master'!$B$3:$F$2413,5,0)</f>
        <v xml:space="preserve">500 GM/pkt </v>
      </c>
      <c r="I22" s="497" t="str">
        <f>VLOOKUP(C22,'Sales Master'!$B$3:$E$2413,4,0)</f>
        <v>F/man 飞人</v>
      </c>
      <c r="J22" s="497"/>
      <c r="K22" s="30">
        <f>VLOOKUP(C22,'Sales Master'!$B$3:$CN$530,91,0)</f>
        <v>0.8</v>
      </c>
      <c r="L22" s="64">
        <f>K22*G22</f>
        <v>8</v>
      </c>
      <c r="N22" s="145">
        <f>VLOOKUP(C22,'Sales Master'!$B$3:$DA$2272,104,0)</f>
        <v>0.62</v>
      </c>
      <c r="O22" s="145">
        <f>K22-N22</f>
        <v>0.18000000000000005</v>
      </c>
      <c r="P22" s="145">
        <f>O22*G22</f>
        <v>1.8000000000000005</v>
      </c>
    </row>
    <row r="23" spans="2:16" ht="20.149999999999999" customHeight="1" x14ac:dyDescent="0.45">
      <c r="B23" s="29"/>
      <c r="C23" s="212" t="s">
        <v>829</v>
      </c>
      <c r="D23" s="461" t="str">
        <f>VLOOKUP(C23,'Sales Master'!B$3:D$530,2,)</f>
        <v>Atap Seeds in Syrup 亚嗒子</v>
      </c>
      <c r="E23" s="461"/>
      <c r="F23" s="461"/>
      <c r="G23" s="76">
        <v>1</v>
      </c>
      <c r="H23" s="186" t="str">
        <f>VLOOKUP(C23,'Sales Master'!$B$3:$F$2413,5,0)</f>
        <v>NW(1.6:0.6) 2.2kg/ Bag包</v>
      </c>
      <c r="I23" s="497" t="str">
        <f>VLOOKUP(C23,'Sales Master'!$B$3:$E$2413,4,0)</f>
        <v>DO!</v>
      </c>
      <c r="J23" s="497"/>
      <c r="K23" s="30">
        <f>VLOOKUP(C23,'Sales Master'!$B$3:$CN$530,91,0)</f>
        <v>9.5</v>
      </c>
      <c r="L23" s="64">
        <f>K23*G23</f>
        <v>9.5</v>
      </c>
      <c r="N23" s="145">
        <f>VLOOKUP(C23,'Sales Master'!$B$3:$DA$2272,104,0)</f>
        <v>7.3</v>
      </c>
      <c r="O23" s="145">
        <f>K23-N23</f>
        <v>2.2000000000000002</v>
      </c>
      <c r="P23" s="145">
        <f>O23*G23</f>
        <v>2.2000000000000002</v>
      </c>
    </row>
    <row r="24" spans="2:16" ht="20.149999999999999" customHeight="1" x14ac:dyDescent="0.45">
      <c r="B24" s="29"/>
      <c r="C24" s="212" t="s">
        <v>831</v>
      </c>
      <c r="D24" s="461" t="str">
        <f>VLOOKUP(C24,'Sales Master'!B$3:D$530,2,)</f>
        <v>Chin Chow  仙草</v>
      </c>
      <c r="E24" s="461"/>
      <c r="F24" s="461"/>
      <c r="G24" s="76">
        <v>1</v>
      </c>
      <c r="H24" s="186" t="str">
        <f>VLOOKUP(C24,'Sales Master'!$B$3:$F$2413,5,0)</f>
        <v>4 KG/ Pkt包</v>
      </c>
      <c r="I24" s="497" t="str">
        <f>VLOOKUP(C24,'Sales Master'!$B$3:$E$2413,4,0)</f>
        <v>TSM</v>
      </c>
      <c r="J24" s="497"/>
      <c r="K24" s="30">
        <f>VLOOKUP(C24,'Sales Master'!$B$3:$CN$530,91,0)</f>
        <v>6</v>
      </c>
      <c r="L24" s="64">
        <f t="shared" ref="L24" si="3">K24*G24</f>
        <v>6</v>
      </c>
      <c r="N24" s="145">
        <f>VLOOKUP(C24,'Sales Master'!$B$3:$DA$2272,104,0)</f>
        <v>4</v>
      </c>
      <c r="O24" s="145">
        <f t="shared" ref="O24" si="4">K24-N24</f>
        <v>2</v>
      </c>
      <c r="P24" s="145">
        <f t="shared" ref="P24" si="5">O24*G24</f>
        <v>2</v>
      </c>
    </row>
    <row r="25" spans="2:16" ht="20.149999999999999" customHeight="1" x14ac:dyDescent="0.45">
      <c r="B25" s="29"/>
      <c r="C25" s="212" t="s">
        <v>877</v>
      </c>
      <c r="D25" s="461" t="str">
        <f>VLOOKUP(C25,'Sales Master'!B$3:D$530,2,)</f>
        <v>Small Sago 小丸</v>
      </c>
      <c r="E25" s="461"/>
      <c r="F25" s="461"/>
      <c r="G25" s="76">
        <v>2</v>
      </c>
      <c r="H25" s="186" t="str">
        <f>VLOOKUP(C25,'Sales Master'!$B$3:$F$2413,5,0)</f>
        <v>5 KG</v>
      </c>
      <c r="I25" s="497" t="str">
        <f>VLOOKUP(C25,'Sales Master'!$B$3:$E$2413,4,0)</f>
        <v>-</v>
      </c>
      <c r="J25" s="497"/>
      <c r="K25" s="30">
        <f>VLOOKUP(C25,'Sales Master'!$B$3:$CN$530,91,0)</f>
        <v>10</v>
      </c>
      <c r="L25" s="64">
        <f t="shared" ref="L25:L26" si="6">K25*G25</f>
        <v>20</v>
      </c>
      <c r="N25" s="145">
        <f>VLOOKUP(C25,'Sales Master'!$B$3:$DA$2272,104,0)</f>
        <v>0.70833333333333326</v>
      </c>
      <c r="O25" s="145">
        <f t="shared" ref="O25:O26" si="7">K25-N25</f>
        <v>9.2916666666666661</v>
      </c>
      <c r="P25" s="145">
        <f t="shared" ref="P25:P26" si="8">O25*G25</f>
        <v>18.583333333333332</v>
      </c>
    </row>
    <row r="26" spans="2:16" ht="20.149999999999999" customHeight="1" x14ac:dyDescent="0.45">
      <c r="B26" s="29"/>
      <c r="C26" s="212" t="s">
        <v>980</v>
      </c>
      <c r="D26" s="461" t="str">
        <f>VLOOKUP(C26,'Sales Master'!B$3:D$530,2,)</f>
        <v>GingKo Nut 白果罐</v>
      </c>
      <c r="E26" s="461"/>
      <c r="F26" s="461"/>
      <c r="G26" s="76">
        <v>1</v>
      </c>
      <c r="H26" s="186" t="str">
        <f>VLOOKUP(C26,'Sales Master'!$B$3:$F$2413,5,0)</f>
        <v>397 GM x 24/ Ctn箱</v>
      </c>
      <c r="I26" s="497" t="str">
        <f>VLOOKUP(C26,'Sales Master'!$B$3:$E$2413,4,0)</f>
        <v>MiLi</v>
      </c>
      <c r="J26" s="497"/>
      <c r="K26" s="30">
        <f>VLOOKUP(C26,'Sales Master'!$B$3:$CN$530,91,0)</f>
        <v>32</v>
      </c>
      <c r="L26" s="64">
        <f t="shared" si="6"/>
        <v>32</v>
      </c>
      <c r="N26" s="145">
        <f>VLOOKUP(C26,'Sales Master'!$B$3:$DA$2272,104,0)</f>
        <v>21</v>
      </c>
      <c r="O26" s="145">
        <f t="shared" si="7"/>
        <v>11</v>
      </c>
      <c r="P26" s="145">
        <f t="shared" si="8"/>
        <v>11</v>
      </c>
    </row>
    <row r="27" spans="2:16" ht="20.149999999999999" customHeight="1" x14ac:dyDescent="0.45">
      <c r="B27" s="29"/>
      <c r="C27" s="212" t="s">
        <v>990</v>
      </c>
      <c r="D27" s="461" t="str">
        <f>VLOOKUP(C27,'Sales Master'!B$3:D$530,2,)</f>
        <v>Coconut Milk 椰浆</v>
      </c>
      <c r="E27" s="461"/>
      <c r="F27" s="461"/>
      <c r="G27" s="76">
        <v>2</v>
      </c>
      <c r="H27" s="186" t="str">
        <f>VLOOKUP(C27,'Sales Master'!$B$3:$F$2413,5,0)</f>
        <v>(1L x 12bag)/箱</v>
      </c>
      <c r="I27" s="497" t="str">
        <f>VLOOKUP(C27,'Sales Master'!$B$3:$E$2413,4,0)</f>
        <v>Kara UHT</v>
      </c>
      <c r="J27" s="497"/>
      <c r="K27" s="30">
        <f>VLOOKUP(C27,'Sales Master'!$B$3:$CN$530,91,0)</f>
        <v>42</v>
      </c>
      <c r="L27" s="64">
        <f>K27*G27</f>
        <v>84</v>
      </c>
      <c r="N27" s="145">
        <f>VLOOKUP(C27,'Sales Master'!$B$3:$DA$2272,104,0)</f>
        <v>35.799999999999997</v>
      </c>
      <c r="O27" s="145">
        <f>K27-N27</f>
        <v>6.2000000000000028</v>
      </c>
      <c r="P27" s="145">
        <f>O27*G27</f>
        <v>12.400000000000006</v>
      </c>
    </row>
    <row r="28" spans="2:16" ht="20.149999999999999" customHeight="1" x14ac:dyDescent="0.45">
      <c r="B28" s="29"/>
      <c r="C28" s="212"/>
      <c r="D28" s="461"/>
      <c r="E28" s="461"/>
      <c r="F28" s="461"/>
      <c r="G28" s="76"/>
      <c r="H28" s="186"/>
      <c r="I28" s="497"/>
      <c r="J28" s="497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76"/>
      <c r="H29" s="186"/>
      <c r="I29" s="497"/>
      <c r="J29" s="497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6"/>
      <c r="I30" s="497"/>
      <c r="J30" s="497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76"/>
      <c r="H31" s="186"/>
      <c r="I31" s="497"/>
      <c r="J31" s="497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G32" s="76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G33" s="76"/>
      <c r="H33" s="186"/>
      <c r="I33" s="208"/>
      <c r="J33" s="208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90"/>
      <c r="E34" s="490"/>
      <c r="F34" s="490"/>
      <c r="G34" s="33"/>
      <c r="H34" s="57"/>
      <c r="I34" s="474"/>
      <c r="J34" s="474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SUM(L14:L35)</f>
        <v>238</v>
      </c>
      <c r="M36" s="63">
        <f>SUM(P18:P35)</f>
        <v>104.13333333333334</v>
      </c>
      <c r="N36" s="133">
        <f>M36/L36</f>
        <v>0.4375350140056023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238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21.419999999999998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259.42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22:F22"/>
    <mergeCell ref="I27:J27"/>
    <mergeCell ref="I30:J30"/>
    <mergeCell ref="I29:J29"/>
    <mergeCell ref="I28:J28"/>
    <mergeCell ref="D23:F23"/>
    <mergeCell ref="D21:F21"/>
    <mergeCell ref="D20:F20"/>
    <mergeCell ref="D24:F24"/>
    <mergeCell ref="D19:F19"/>
    <mergeCell ref="D26:F26"/>
    <mergeCell ref="D25:F25"/>
    <mergeCell ref="J40:K40"/>
    <mergeCell ref="D34:F34"/>
    <mergeCell ref="I34:J34"/>
    <mergeCell ref="J36:K36"/>
    <mergeCell ref="J38:K38"/>
    <mergeCell ref="I31:J31"/>
    <mergeCell ref="D31:F31"/>
    <mergeCell ref="I18:J18"/>
    <mergeCell ref="I21:J21"/>
    <mergeCell ref="I26:J26"/>
    <mergeCell ref="I22:J22"/>
    <mergeCell ref="I20:J20"/>
    <mergeCell ref="I25:J25"/>
    <mergeCell ref="I24:J24"/>
    <mergeCell ref="I19:J19"/>
    <mergeCell ref="D18:F18"/>
    <mergeCell ref="D27:F27"/>
    <mergeCell ref="I23:J23"/>
    <mergeCell ref="D28:F28"/>
    <mergeCell ref="D29:F29"/>
    <mergeCell ref="D30:F3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A4D5-6BC2-4354-B3E0-A0846EB816EF}">
  <sheetPr>
    <tabColor rgb="FFFFC000"/>
    <pageSetUpPr fitToPage="1"/>
  </sheetPr>
  <dimension ref="B1:S42"/>
  <sheetViews>
    <sheetView topLeftCell="A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1999</v>
      </c>
      <c r="J10" s="24" t="s">
        <v>27</v>
      </c>
      <c r="K10" s="493">
        <v>202410324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          215C Compassvale Drive, #01-06                  Singapore 543215</v>
      </c>
      <c r="G11" s="481"/>
      <c r="H11" s="482"/>
      <c r="J11" s="26" t="s">
        <v>9</v>
      </c>
      <c r="K11" s="495">
        <v>45579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865</v>
      </c>
      <c r="D18" s="461" t="str">
        <f>VLOOKUP(C18,'Sales Master'!B$3:D$530,2,)</f>
        <v>White Glutinous Rice 白糯米</v>
      </c>
      <c r="E18" s="461"/>
      <c r="F18" s="461"/>
      <c r="G18" s="76">
        <v>1</v>
      </c>
      <c r="H18" s="186" t="str">
        <f>VLOOKUP(C18,'Sales Master'!$B$3:$F$2481,5,0)</f>
        <v>5 KG</v>
      </c>
      <c r="I18" s="497" t="str">
        <f>VLOOKUP(C18,'Sales Master'!$B$3:$E$2481,4,0)</f>
        <v>-</v>
      </c>
      <c r="J18" s="497"/>
      <c r="K18" s="30">
        <f>VLOOKUP(C18,'Sales Master'!B$3:J$530,9,0)</f>
        <v>10</v>
      </c>
      <c r="L18" s="64">
        <f>K18*G18</f>
        <v>10</v>
      </c>
      <c r="M18" s="65"/>
      <c r="N18" s="145">
        <f>VLOOKUP(C18,'Sales Master'!$B$3:$DA$2272,104,0)</f>
        <v>6</v>
      </c>
      <c r="O18" s="145">
        <f>K18-N18</f>
        <v>4</v>
      </c>
      <c r="P18" s="145">
        <f>O18*G18</f>
        <v>4</v>
      </c>
    </row>
    <row r="19" spans="2:19" ht="20.149999999999999" customHeight="1" x14ac:dyDescent="0.45">
      <c r="B19" s="29"/>
      <c r="C19" s="212" t="s">
        <v>961</v>
      </c>
      <c r="D19" s="461" t="str">
        <f>VLOOKUP(C19,'Sales Master'!B$3:D$530,2,)</f>
        <v>Lychee in Syrup 荔枝</v>
      </c>
      <c r="E19" s="461"/>
      <c r="F19" s="461"/>
      <c r="G19" s="76">
        <v>3</v>
      </c>
      <c r="H19" s="186" t="str">
        <f>VLOOKUP(C19,'Sales Master'!$B$3:$F$2481,5,0)</f>
        <v>12 CAN/CARTON</v>
      </c>
      <c r="I19" s="497" t="str">
        <f>VLOOKUP(C19,'Sales Master'!$B$3:$E$2481,4,0)</f>
        <v>Statue</v>
      </c>
      <c r="J19" s="497"/>
      <c r="K19" s="30">
        <f>VLOOKUP(C19,'Sales Master'!B$3:J$530,9,0)</f>
        <v>22</v>
      </c>
      <c r="L19" s="64">
        <f>K19*G19</f>
        <v>66</v>
      </c>
      <c r="M19" s="65"/>
      <c r="N19" s="145">
        <f>VLOOKUP(C19,'Sales Master'!$B$3:$DA$2272,104,0)</f>
        <v>16.5</v>
      </c>
      <c r="O19" s="145">
        <f>K19-N19</f>
        <v>5.5</v>
      </c>
      <c r="P19" s="145">
        <f>O19*G19</f>
        <v>16.5</v>
      </c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76</v>
      </c>
      <c r="M30" s="63">
        <f>SUM(P18:P28)</f>
        <v>20.5</v>
      </c>
      <c r="N30" s="133">
        <f>M30/L30</f>
        <v>0.26973684210526316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76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6.84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82.84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807A-B0EE-4073-BA42-AE4EABA41A93}">
  <sheetPr>
    <tabColor rgb="FFFFC000"/>
    <pageSetUpPr fitToPage="1"/>
  </sheetPr>
  <dimension ref="B1:S42"/>
  <sheetViews>
    <sheetView topLeftCell="D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2008</v>
      </c>
      <c r="J10" s="24" t="s">
        <v>27</v>
      </c>
      <c r="K10" s="493">
        <v>202406237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Dim Sum                                            Koufu Food Court @ Woodlands Health    17 Woodlands Drive 17, #B1-03/04  Singapore 737628</v>
      </c>
      <c r="G11" s="481"/>
      <c r="H11" s="482"/>
      <c r="J11" s="26" t="s">
        <v>9</v>
      </c>
      <c r="K11" s="495">
        <v>45453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3</v>
      </c>
      <c r="H18" s="186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30">
        <f>VLOOKUP(C18,'Sales Master'!$B$3:$CO$530,92,0)</f>
        <v>6.5</v>
      </c>
      <c r="L18" s="64">
        <f>K18*G18</f>
        <v>19.5</v>
      </c>
      <c r="N18" s="145">
        <f>VLOOKUP(C18,'Sales Master'!$B$3:$DA$2272,104,0)</f>
        <v>2.44</v>
      </c>
      <c r="O18" s="145">
        <f>K18-N18</f>
        <v>4.0600000000000005</v>
      </c>
      <c r="P18" s="145">
        <f>O18*G18</f>
        <v>12.180000000000001</v>
      </c>
    </row>
    <row r="19" spans="2:19" ht="20.149999999999999" customHeight="1" x14ac:dyDescent="0.45">
      <c r="B19" s="29"/>
      <c r="C19" s="212" t="s">
        <v>811</v>
      </c>
      <c r="D19" s="461" t="str">
        <f>VLOOKUP(C19,'Sales Master'!B$3:D$530,2,)</f>
        <v>Potato Starch 风车粉</v>
      </c>
      <c r="E19" s="461"/>
      <c r="F19" s="461"/>
      <c r="G19" s="76">
        <v>1</v>
      </c>
      <c r="H19" s="186" t="str">
        <f>VLOOKUP(C19,'Sales Master'!$B$3:$F$2413,5,0)</f>
        <v>350 GM x 24/ Ctn箱</v>
      </c>
      <c r="I19" s="497" t="str">
        <f>VLOOKUP(C19,'Sales Master'!$B$3:$E$2413,4,0)</f>
        <v>Windmill</v>
      </c>
      <c r="J19" s="497"/>
      <c r="K19" s="30">
        <f>VLOOKUP(C19,'Sales Master'!$B$3:$CO$530,92,0)</f>
        <v>41</v>
      </c>
      <c r="L19" s="64">
        <f>K19*G19</f>
        <v>41</v>
      </c>
      <c r="N19" s="145">
        <f>VLOOKUP(C19,'Sales Master'!$B$3:$DA$2272,104,0)</f>
        <v>33.6</v>
      </c>
      <c r="O19" s="145">
        <f>K19-N19</f>
        <v>7.3999999999999986</v>
      </c>
      <c r="P19" s="145">
        <f>O19*G19</f>
        <v>7.3999999999999986</v>
      </c>
      <c r="R19" s="63"/>
      <c r="S19" s="63"/>
    </row>
    <row r="20" spans="2:19" ht="20.149999999999999" customHeight="1" x14ac:dyDescent="0.45">
      <c r="B20" s="29"/>
      <c r="C20" s="212" t="s">
        <v>831</v>
      </c>
      <c r="D20" s="461" t="str">
        <f>VLOOKUP(C20,'Sales Master'!B$3:D$530,2,)</f>
        <v>Chin Chow  仙草</v>
      </c>
      <c r="E20" s="461"/>
      <c r="F20" s="461"/>
      <c r="G20" s="76">
        <v>2</v>
      </c>
      <c r="H20" s="186" t="str">
        <f>VLOOKUP(C20,'Sales Master'!$B$3:$F$2413,5,0)</f>
        <v>4 KG/ Pkt包</v>
      </c>
      <c r="I20" s="497" t="str">
        <f>VLOOKUP(C20,'Sales Master'!$B$3:$E$2413,4,0)</f>
        <v>TSM</v>
      </c>
      <c r="J20" s="497"/>
      <c r="K20" s="30">
        <f>VLOOKUP(C20,'Sales Master'!$B$3:$CO$530,92,0)</f>
        <v>6</v>
      </c>
      <c r="L20" s="64">
        <f>K20*G20</f>
        <v>12</v>
      </c>
      <c r="N20" s="145">
        <f>VLOOKUP(C20,'Sales Master'!$B$3:$DA$2272,104,0)</f>
        <v>4</v>
      </c>
      <c r="O20" s="145">
        <f>K20-N20</f>
        <v>2</v>
      </c>
      <c r="P20" s="145">
        <f>O20*G20</f>
        <v>4</v>
      </c>
    </row>
    <row r="21" spans="2:19" ht="20.149999999999999" customHeight="1" x14ac:dyDescent="0.45">
      <c r="B21" s="29"/>
      <c r="C21" s="212" t="s">
        <v>841</v>
      </c>
      <c r="D21" s="461" t="str">
        <f>VLOOKUP(C21,'Sales Master'!B$3:D$530,2,)</f>
        <v>Small Red Bean 小红豆</v>
      </c>
      <c r="E21" s="461"/>
      <c r="F21" s="461"/>
      <c r="G21" s="76">
        <v>5</v>
      </c>
      <c r="H21" s="186" t="str">
        <f>VLOOKUP(C21,'Sales Master'!$B$3:$F$2413,5,0)</f>
        <v>5 KG</v>
      </c>
      <c r="I21" s="497" t="str">
        <f>VLOOKUP(C21,'Sales Master'!$B$3:$E$2413,4,0)</f>
        <v>-</v>
      </c>
      <c r="J21" s="497"/>
      <c r="K21" s="30">
        <f>VLOOKUP(C21,'Sales Master'!$B$3:$CO$530,92,0)</f>
        <v>17.5</v>
      </c>
      <c r="L21" s="64">
        <f>K21*G21</f>
        <v>87.5</v>
      </c>
      <c r="N21" s="145">
        <f>VLOOKUP(C21,'Sales Master'!$B$3:$DA$2272,104,0)</f>
        <v>12.75</v>
      </c>
      <c r="O21" s="145">
        <f>K21-N21</f>
        <v>4.75</v>
      </c>
      <c r="P21" s="145">
        <f>O21*G21</f>
        <v>23.75</v>
      </c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160</v>
      </c>
      <c r="M30" s="63">
        <f>SUM(P18:P28)</f>
        <v>47.33</v>
      </c>
      <c r="N30" s="133">
        <f>M30/L30</f>
        <v>0.29581249999999998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14.399999999999999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174.4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6451-4B96-4D24-8F72-E1DD5A0C68D4}">
  <sheetPr>
    <tabColor rgb="FFFFC000"/>
    <pageSetUpPr fitToPage="1"/>
  </sheetPr>
  <dimension ref="B1:N46"/>
  <sheetViews>
    <sheetView topLeftCell="A10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2009</v>
      </c>
      <c r="J10" s="24" t="s">
        <v>27</v>
      </c>
      <c r="K10" s="493">
        <v>202501191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Dessert                                               Koufu Food Court @ Woodlands Health    17 Woodlands Drive 17, #B1-03/04  Singapore 737628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2</v>
      </c>
      <c r="H18" s="186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30">
        <f>VLOOKUP(C18,'Sales Master'!$B$3:$CO$530,92,0)</f>
        <v>6.5</v>
      </c>
      <c r="L18" s="64">
        <f t="shared" ref="L18" si="0">K18*G18</f>
        <v>13</v>
      </c>
    </row>
    <row r="19" spans="2:13" ht="20.149999999999999" customHeight="1" x14ac:dyDescent="0.45">
      <c r="B19" s="29"/>
      <c r="C19" s="212" t="s">
        <v>741</v>
      </c>
      <c r="D19" s="492" t="str">
        <f>VLOOKUP(C19,'Sales Master'!B$3:D$530,2,)</f>
        <v>Pong Thai Hai (Wet) 碰大海(湿)</v>
      </c>
      <c r="E19" s="492"/>
      <c r="F19" s="492"/>
      <c r="G19" s="76">
        <v>3</v>
      </c>
      <c r="H19" s="186" t="str">
        <f>VLOOKUP(C19,'Sales Master'!$B$3:$F$2413,5,0)</f>
        <v>1 KG/ Pkt包</v>
      </c>
      <c r="I19" s="497" t="str">
        <f>VLOOKUP(C19,'Sales Master'!$B$3:$E$2413,4,0)</f>
        <v>DO!</v>
      </c>
      <c r="J19" s="497"/>
      <c r="K19" s="30">
        <f>VLOOKUP(C19,'Sales Master'!$B$3:$CO$530,92,0)</f>
        <v>10</v>
      </c>
      <c r="L19" s="64">
        <f>K19*G19</f>
        <v>30</v>
      </c>
    </row>
    <row r="20" spans="2:13" ht="20.149999999999999" customHeight="1" x14ac:dyDescent="0.45">
      <c r="B20" s="29"/>
      <c r="C20" s="212" t="s">
        <v>773</v>
      </c>
      <c r="D20" s="461" t="str">
        <f>VLOOKUP(C20,'Sales Master'!B$3:D$530,2,)</f>
        <v>Agar Powder 菜燕粉</v>
      </c>
      <c r="E20" s="461"/>
      <c r="F20" s="461"/>
      <c r="G20" s="76">
        <v>1</v>
      </c>
      <c r="H20" s="186" t="str">
        <f>VLOOKUP(C20,'Sales Master'!$B$3:$F$2413,5,0)</f>
        <v>43 gms x 10PKT/Bag</v>
      </c>
      <c r="I20" s="497" t="str">
        <f>VLOOKUP(C20,'Sales Master'!$B$3:$E$2413,4,0)</f>
        <v>No 1</v>
      </c>
      <c r="J20" s="497"/>
      <c r="K20" s="30">
        <f>VLOOKUP(C20,'Sales Master'!$B$3:$CO$530,92,0)</f>
        <v>30</v>
      </c>
      <c r="L20" s="64">
        <f>K20*G20</f>
        <v>30</v>
      </c>
    </row>
    <row r="21" spans="2:13" ht="20.149999999999999" customHeight="1" x14ac:dyDescent="0.45">
      <c r="B21" s="29"/>
      <c r="C21" s="212" t="s">
        <v>801</v>
      </c>
      <c r="D21" s="461" t="str">
        <f>VLOOKUP(C21,'Sales Master'!B$3:D$530,2,)</f>
        <v>Sweet Potato Powder 番薯粉</v>
      </c>
      <c r="E21" s="461"/>
      <c r="F21" s="461"/>
      <c r="G21" s="76">
        <v>1</v>
      </c>
      <c r="H21" s="186" t="str">
        <f>VLOOKUP(C21,'Sales Master'!$B$3:$F$2413,5,0)</f>
        <v>(500gm x 20Pkt)包</v>
      </c>
      <c r="I21" s="497" t="str">
        <f>VLOOKUP(C21,'Sales Master'!$B$3:$E$2413,4,0)</f>
        <v>RE-PACK</v>
      </c>
      <c r="J21" s="497"/>
      <c r="K21" s="30">
        <f>VLOOKUP(C21,'Sales Master'!$B$3:$CO$530,92,0)</f>
        <v>32</v>
      </c>
      <c r="L21" s="64">
        <f t="shared" ref="L21" si="1">K21*G21</f>
        <v>32</v>
      </c>
    </row>
    <row r="22" spans="2:13" ht="20.149999999999999" customHeight="1" x14ac:dyDescent="0.45">
      <c r="B22" s="29"/>
      <c r="C22" s="212" t="s">
        <v>877</v>
      </c>
      <c r="D22" s="461" t="str">
        <f>VLOOKUP(C22,'Sales Master'!B$3:D$530,2,)</f>
        <v>Small Sago 小丸</v>
      </c>
      <c r="E22" s="461"/>
      <c r="F22" s="461"/>
      <c r="G22" s="76">
        <v>1</v>
      </c>
      <c r="H22" s="186" t="str">
        <f>VLOOKUP(C22,'Sales Master'!$B$3:$F$2413,5,0)</f>
        <v>5 KG</v>
      </c>
      <c r="I22" s="497" t="str">
        <f>VLOOKUP(C22,'Sales Master'!$B$3:$E$2413,4,0)</f>
        <v>-</v>
      </c>
      <c r="J22" s="497"/>
      <c r="K22" s="30">
        <f>VLOOKUP(C22,'Sales Master'!$B$3:$CO$530,92,0)</f>
        <v>10</v>
      </c>
      <c r="L22" s="64">
        <f>K22*G22</f>
        <v>10</v>
      </c>
    </row>
    <row r="23" spans="2:13" ht="20.149999999999999" customHeight="1" x14ac:dyDescent="0.45">
      <c r="B23" s="29"/>
      <c r="C23" s="212" t="s">
        <v>886</v>
      </c>
      <c r="D23" s="461" t="str">
        <f>VLOOKUP(C23,'Sales Master'!B$3:D$530,2,)</f>
        <v>Fungus黄 木耳朵</v>
      </c>
      <c r="E23" s="461"/>
      <c r="F23" s="461"/>
      <c r="G23" s="76">
        <v>1</v>
      </c>
      <c r="H23" s="186" t="str">
        <f>VLOOKUP(C23,'Sales Master'!$B$3:$F$2413,5,0)</f>
        <v>1 kg</v>
      </c>
      <c r="I23" s="497" t="str">
        <f>VLOOKUP(C23,'Sales Master'!$B$3:$E$2413,4,0)</f>
        <v>黄</v>
      </c>
      <c r="J23" s="497"/>
      <c r="K23" s="30">
        <f>VLOOKUP(C23,'Sales Master'!$B$3:$CO$530,92,0)</f>
        <v>16</v>
      </c>
      <c r="L23" s="64">
        <f>K23*G23</f>
        <v>16</v>
      </c>
    </row>
    <row r="24" spans="2:13" ht="20.149999999999999" customHeight="1" x14ac:dyDescent="0.45">
      <c r="B24" s="29"/>
      <c r="C24" s="212"/>
      <c r="D24" s="492"/>
      <c r="E24" s="492"/>
      <c r="F24" s="492"/>
      <c r="G24" s="76"/>
      <c r="H24" s="186"/>
      <c r="I24" s="497"/>
      <c r="J24" s="497"/>
      <c r="K24" s="30"/>
      <c r="L24" s="64"/>
    </row>
    <row r="25" spans="2:13" ht="20.149999999999999" customHeight="1" x14ac:dyDescent="0.45">
      <c r="B25" s="29"/>
      <c r="C25" s="212"/>
      <c r="D25" s="461"/>
      <c r="E25" s="461"/>
      <c r="F25" s="461"/>
      <c r="G25" s="76"/>
      <c r="H25" s="186"/>
      <c r="I25" s="497"/>
      <c r="J25" s="497"/>
      <c r="K25" s="30"/>
      <c r="L25" s="64"/>
    </row>
    <row r="26" spans="2:13" ht="20.149999999999999" customHeight="1" x14ac:dyDescent="0.45">
      <c r="B26" s="29"/>
      <c r="C26" s="212"/>
      <c r="D26" s="461"/>
      <c r="E26" s="461"/>
      <c r="F26" s="461"/>
      <c r="G26" s="76"/>
      <c r="H26" s="186"/>
      <c r="I26" s="497"/>
      <c r="J26" s="497"/>
      <c r="K26" s="30"/>
      <c r="L26" s="64"/>
    </row>
    <row r="27" spans="2:13" ht="20.149999999999999" customHeight="1" x14ac:dyDescent="0.45">
      <c r="B27" s="29"/>
      <c r="C27" s="212"/>
      <c r="D27" s="461"/>
      <c r="E27" s="461"/>
      <c r="F27" s="461"/>
      <c r="G27" s="76"/>
      <c r="H27" s="186"/>
      <c r="I27" s="497"/>
      <c r="J27" s="497"/>
      <c r="K27" s="30"/>
      <c r="L27" s="64"/>
    </row>
    <row r="28" spans="2:13" ht="20.149999999999999" customHeight="1" x14ac:dyDescent="0.45">
      <c r="B28" s="29"/>
      <c r="C28" s="17"/>
      <c r="D28" s="492"/>
      <c r="E28" s="492"/>
      <c r="F28" s="492"/>
      <c r="G28" s="76"/>
      <c r="H28" s="186"/>
      <c r="I28" s="497"/>
      <c r="J28" s="497"/>
      <c r="K28" s="30"/>
      <c r="L28" s="64"/>
    </row>
    <row r="29" spans="2:13" ht="20.149999999999999" customHeight="1" x14ac:dyDescent="0.45">
      <c r="B29" s="29"/>
      <c r="C29" s="17"/>
      <c r="D29" s="461"/>
      <c r="E29" s="461"/>
      <c r="F29" s="461"/>
      <c r="G29" s="76"/>
      <c r="H29" s="186"/>
      <c r="I29" s="497"/>
      <c r="J29" s="497"/>
      <c r="K29" s="30"/>
      <c r="L29" s="64"/>
    </row>
    <row r="30" spans="2:13" ht="20.149999999999999" customHeight="1" x14ac:dyDescent="0.45">
      <c r="B30" s="29"/>
      <c r="C30" s="17"/>
      <c r="D30" s="461"/>
      <c r="E30" s="461"/>
      <c r="F30" s="461"/>
      <c r="G30" s="76"/>
      <c r="H30" s="186"/>
      <c r="I30" s="497"/>
      <c r="J30" s="497"/>
      <c r="K30" s="30"/>
      <c r="L30" s="64"/>
    </row>
    <row r="31" spans="2:13" ht="20.149999999999999" customHeight="1" x14ac:dyDescent="0.45">
      <c r="B31" s="29"/>
      <c r="C31" s="17"/>
      <c r="D31" s="461"/>
      <c r="E31" s="461"/>
      <c r="F31" s="461"/>
      <c r="G31" s="76"/>
      <c r="H31" s="186"/>
      <c r="I31" s="497"/>
      <c r="J31" s="497"/>
      <c r="K31" s="30"/>
      <c r="L31" s="64"/>
    </row>
    <row r="32" spans="2:13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SUM(L14:L32)</f>
        <v>131</v>
      </c>
      <c r="M34" s="63">
        <f>SUM(P18:P32)</f>
        <v>0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131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11.79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142.79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8">
    <mergeCell ref="D32:F32"/>
    <mergeCell ref="I32:J32"/>
    <mergeCell ref="D23:F23"/>
    <mergeCell ref="D19:F19"/>
    <mergeCell ref="D31:F31"/>
    <mergeCell ref="I19:J19"/>
    <mergeCell ref="D29:F29"/>
    <mergeCell ref="D28:F28"/>
    <mergeCell ref="I28:J28"/>
    <mergeCell ref="D30:F30"/>
    <mergeCell ref="I23:J23"/>
    <mergeCell ref="D22:F22"/>
    <mergeCell ref="D27:F27"/>
    <mergeCell ref="D20:F20"/>
    <mergeCell ref="D26:F26"/>
    <mergeCell ref="D25:F25"/>
    <mergeCell ref="J38:K38"/>
    <mergeCell ref="J34:K34"/>
    <mergeCell ref="J36:K36"/>
    <mergeCell ref="I25:J25"/>
    <mergeCell ref="I22:J22"/>
    <mergeCell ref="I29:J29"/>
    <mergeCell ref="I30:J30"/>
    <mergeCell ref="I31:J31"/>
    <mergeCell ref="I27:J27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1:F21"/>
    <mergeCell ref="I21:J21"/>
    <mergeCell ref="I24:J24"/>
    <mergeCell ref="D24:F24"/>
    <mergeCell ref="I17:J17"/>
    <mergeCell ref="D18:F18"/>
    <mergeCell ref="I18:J18"/>
    <mergeCell ref="I20:J2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DF4-7DE8-41B1-A0FC-E0A463BC30DA}">
  <sheetPr>
    <tabColor rgb="FF7030A0"/>
    <pageSetUpPr fitToPage="1"/>
  </sheetPr>
  <dimension ref="B1:V47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2017</v>
      </c>
      <c r="J10" s="24" t="s">
        <v>27</v>
      </c>
      <c r="K10" s="493">
        <v>202410562</v>
      </c>
      <c r="L10" s="494"/>
    </row>
    <row r="11" spans="2:14" ht="20.149999999999999" customHeight="1" x14ac:dyDescent="0.45">
      <c r="B11" s="477" t="s">
        <v>2028</v>
      </c>
      <c r="C11" s="478"/>
      <c r="D11" s="479"/>
      <c r="E11" s="25"/>
      <c r="F11" s="480" t="str">
        <f>VLOOKUP(H10,'Delivery Location'!A$4:N$460,2,0)</f>
        <v>Zuya Vegetarian Cafe                                      6 Raffles Boulevard #02-223,      Marina Square Mall,                       Singapore 039594</v>
      </c>
      <c r="G11" s="481"/>
      <c r="H11" s="482"/>
      <c r="J11" s="26" t="s">
        <v>9</v>
      </c>
      <c r="K11" s="495">
        <v>45590</v>
      </c>
      <c r="L11" s="496"/>
    </row>
    <row r="12" spans="2:14" ht="20.149999999999999" customHeight="1" x14ac:dyDescent="0.45">
      <c r="B12" s="488" t="s">
        <v>2029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4" ht="20.149999999999999" customHeight="1" x14ac:dyDescent="0.45">
      <c r="B13" s="588" t="s">
        <v>2030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2142</v>
      </c>
      <c r="L13" s="464"/>
    </row>
    <row r="14" spans="2:14" ht="20.149999999999999" customHeight="1" x14ac:dyDescent="0.45">
      <c r="B14" s="488" t="s">
        <v>2031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 t="s">
        <v>2032</v>
      </c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x14ac:dyDescent="0.45">
      <c r="B18" s="259"/>
      <c r="C18" s="212" t="s">
        <v>996</v>
      </c>
      <c r="D18" s="461" t="str">
        <f>VLOOKUP(C18,'Sales Master'!B$3:D$530,2,)</f>
        <v>Calamansi Juice 酸柑水</v>
      </c>
      <c r="E18" s="461"/>
      <c r="F18" s="461"/>
      <c r="G18" s="76">
        <v>2</v>
      </c>
      <c r="H18" s="209" t="str">
        <f>VLOOKUP(C18,'Sales Master'!$B$3:$F$2413,5,0)</f>
        <v>4 LT</v>
      </c>
      <c r="I18" s="563" t="str">
        <f>VLOOKUP(C18,'Sales Master'!$B$3:$E$2413,4,0)</f>
        <v>-</v>
      </c>
      <c r="J18" s="563"/>
      <c r="K18" s="83">
        <f>VLOOKUP(C18,'Sales Master'!B$3:CL$675,89,0)</f>
        <v>32</v>
      </c>
      <c r="L18" s="84">
        <f>K18*G18</f>
        <v>64</v>
      </c>
      <c r="M18" s="65"/>
      <c r="N18" s="145">
        <f>VLOOKUP(C18,'Sales Master'!$B$3:$DA$2272,104,0)</f>
        <v>27</v>
      </c>
      <c r="O18" s="145">
        <f t="shared" ref="O18" si="0">K18-N18</f>
        <v>5</v>
      </c>
      <c r="P18" s="145">
        <f>O18*G18</f>
        <v>10</v>
      </c>
      <c r="R18" s="19">
        <v>2</v>
      </c>
      <c r="S18" s="19" t="s">
        <v>34</v>
      </c>
      <c r="T18" s="19" t="s">
        <v>62</v>
      </c>
      <c r="V18" s="19">
        <v>6</v>
      </c>
    </row>
    <row r="19" spans="2:22" x14ac:dyDescent="0.45">
      <c r="B19" s="362"/>
      <c r="C19" s="212" t="s">
        <v>997</v>
      </c>
      <c r="D19" s="461" t="str">
        <f>VLOOKUP(C19,'Sales Master'!B$3:D$530,2,)</f>
        <v>Sour Plum Juice 酸梅水</v>
      </c>
      <c r="E19" s="461"/>
      <c r="F19" s="461"/>
      <c r="G19" s="76">
        <v>2</v>
      </c>
      <c r="H19" s="209" t="str">
        <f>VLOOKUP(C19,'Sales Master'!$B$3:$F$2413,5,0)</f>
        <v>4 LT</v>
      </c>
      <c r="I19" s="563" t="str">
        <f>VLOOKUP(C19,'Sales Master'!$B$3:$E$2413,4,0)</f>
        <v>-</v>
      </c>
      <c r="J19" s="563"/>
      <c r="K19" s="83">
        <f>VLOOKUP(C19,'Sales Master'!B$3:CL$675,89,0)</f>
        <v>32</v>
      </c>
      <c r="L19" s="84">
        <f>K19*G19</f>
        <v>64</v>
      </c>
      <c r="M19" s="65"/>
      <c r="N19" s="145">
        <f>VLOOKUP(C19,'Sales Master'!$B$3:$DA$2272,104,0)</f>
        <v>27</v>
      </c>
      <c r="O19" s="145">
        <f>K19-N19</f>
        <v>5</v>
      </c>
      <c r="P19" s="145">
        <f>O19*G19</f>
        <v>10</v>
      </c>
    </row>
    <row r="20" spans="2:22" ht="20.149999999999999" customHeight="1" x14ac:dyDescent="0.45">
      <c r="B20" s="259"/>
      <c r="C20" s="212" t="s">
        <v>1004</v>
      </c>
      <c r="D20" s="461" t="str">
        <f>VLOOKUP(C20,'Sales Master'!B$3:D$530,2,)</f>
        <v>Wheat Grass 小麦草</v>
      </c>
      <c r="E20" s="461"/>
      <c r="F20" s="461"/>
      <c r="G20" s="76">
        <v>1</v>
      </c>
      <c r="H20" s="209" t="str">
        <f>VLOOKUP(C20,'Sales Master'!$B$3:$F$2413,5,0)</f>
        <v>4 LT</v>
      </c>
      <c r="I20" s="563" t="str">
        <f>VLOOKUP(C20,'Sales Master'!$B$3:$E$2413,4,0)</f>
        <v>-</v>
      </c>
      <c r="J20" s="563"/>
      <c r="K20" s="83">
        <f>VLOOKUP(C20,'Sales Master'!B$3:CL$675,89,0)</f>
        <v>32</v>
      </c>
      <c r="L20" s="84">
        <f t="shared" ref="L20" si="1">K20*G20</f>
        <v>32</v>
      </c>
      <c r="M20" s="65"/>
      <c r="N20" s="145">
        <f>VLOOKUP(C20,'Sales Master'!$B$3:$DA$2272,104,0)</f>
        <v>27</v>
      </c>
      <c r="O20" s="145">
        <f t="shared" ref="O20" si="2">K20-N20</f>
        <v>5</v>
      </c>
      <c r="P20" s="145">
        <f t="shared" ref="P20" si="3">O20*G20</f>
        <v>5</v>
      </c>
    </row>
    <row r="21" spans="2:22" ht="20.149999999999999" customHeight="1" x14ac:dyDescent="0.45">
      <c r="B21" s="58"/>
      <c r="C21" s="212"/>
      <c r="D21" s="461"/>
      <c r="E21" s="461"/>
      <c r="F21" s="461"/>
      <c r="G21" s="76"/>
      <c r="H21" s="209"/>
      <c r="I21" s="563"/>
      <c r="J21" s="563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61"/>
      <c r="E22" s="461"/>
      <c r="F22" s="461"/>
      <c r="G22" s="76"/>
      <c r="H22" s="209"/>
      <c r="I22" s="563"/>
      <c r="J22" s="563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61"/>
      <c r="E23" s="461"/>
      <c r="F23" s="461"/>
      <c r="G23" s="76"/>
      <c r="H23" s="209"/>
      <c r="I23" s="563"/>
      <c r="J23" s="563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98"/>
      <c r="E24" s="498"/>
      <c r="F24" s="498"/>
      <c r="G24" s="76"/>
      <c r="H24" s="209"/>
      <c r="I24" s="563"/>
      <c r="J24" s="563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2"/>
      <c r="D25" s="461"/>
      <c r="E25" s="461"/>
      <c r="F25" s="461"/>
      <c r="G25" s="17"/>
      <c r="H25" s="209"/>
      <c r="I25" s="563"/>
      <c r="J25" s="563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17"/>
      <c r="H26" s="209"/>
      <c r="I26" s="563"/>
      <c r="J26" s="563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209"/>
      <c r="I27" s="563"/>
      <c r="J27" s="563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209"/>
      <c r="I28" s="563"/>
      <c r="J28" s="563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209"/>
      <c r="I29" s="563"/>
      <c r="J29" s="563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61"/>
      <c r="E30" s="461"/>
      <c r="F30" s="461"/>
      <c r="G30" s="17"/>
      <c r="H30" s="209"/>
      <c r="I30" s="563"/>
      <c r="J30" s="563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491"/>
      <c r="J31" s="491"/>
      <c r="K31" s="83"/>
      <c r="L31" s="84"/>
    </row>
    <row r="32" spans="2:22" ht="20.149999999999999" customHeight="1" x14ac:dyDescent="0.45">
      <c r="B32" s="58"/>
      <c r="C32" s="17"/>
      <c r="D32" s="461"/>
      <c r="E32" s="461"/>
      <c r="F32" s="461"/>
      <c r="G32" s="76"/>
      <c r="H32" s="56"/>
      <c r="I32" s="491"/>
      <c r="J32" s="491"/>
      <c r="K32" s="83"/>
      <c r="L32" s="84"/>
    </row>
    <row r="33" spans="2:14" ht="20.149999999999999" customHeight="1" x14ac:dyDescent="0.45">
      <c r="B33" s="58"/>
      <c r="C33" s="17"/>
      <c r="D33" s="461"/>
      <c r="E33" s="461"/>
      <c r="F33" s="461"/>
      <c r="G33" s="76"/>
      <c r="H33" s="56"/>
      <c r="I33" s="491"/>
      <c r="J33" s="491"/>
      <c r="K33" s="83"/>
      <c r="L33" s="84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SUM(L18:L34)</f>
        <v>160</v>
      </c>
      <c r="M35" s="63">
        <f>SUM(P18:P34)</f>
        <v>25</v>
      </c>
      <c r="N35" s="133">
        <f>M35/L35</f>
        <v>0.15625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160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14.399999999999999</v>
      </c>
    </row>
    <row r="39" spans="2:14" ht="20.149999999999999" customHeight="1" thickBot="1" x14ac:dyDescent="0.5">
      <c r="B39" s="10" t="s">
        <v>700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174.4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690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32:J32"/>
    <mergeCell ref="I29:J29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6:F26"/>
    <mergeCell ref="I26:J26"/>
    <mergeCell ref="I24:J24"/>
    <mergeCell ref="D22:F22"/>
    <mergeCell ref="D25:F25"/>
    <mergeCell ref="I23:J23"/>
    <mergeCell ref="I25:J25"/>
    <mergeCell ref="D23:F23"/>
    <mergeCell ref="I22:J22"/>
    <mergeCell ref="J39:K39"/>
    <mergeCell ref="D24:F24"/>
    <mergeCell ref="I33:J33"/>
    <mergeCell ref="J35:K35"/>
    <mergeCell ref="J37:K37"/>
    <mergeCell ref="I27:J27"/>
    <mergeCell ref="I31:J31"/>
    <mergeCell ref="I28:J28"/>
    <mergeCell ref="I30:J30"/>
    <mergeCell ref="D28:F28"/>
    <mergeCell ref="D27:F27"/>
    <mergeCell ref="D29:F29"/>
    <mergeCell ref="D33:F33"/>
    <mergeCell ref="D31:F31"/>
    <mergeCell ref="D30:F30"/>
    <mergeCell ref="D32:F32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77319-2AD9-486D-B6BD-C016A99D3613}">
  <sheetPr>
    <tabColor rgb="FFFFC000"/>
    <pageSetUpPr fitToPage="1"/>
  </sheetPr>
  <dimension ref="B1:V48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906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2022</v>
      </c>
      <c r="J10" s="24" t="s">
        <v>27</v>
      </c>
      <c r="K10" s="493">
        <v>202501172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1184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992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3</v>
      </c>
      <c r="H18" s="211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19.5</v>
      </c>
      <c r="T18" s="93"/>
      <c r="U18" s="93"/>
      <c r="V18" s="93"/>
    </row>
    <row r="19" spans="2:22" ht="20.149999999999999" customHeight="1" x14ac:dyDescent="0.45">
      <c r="B19" s="58">
        <v>520695</v>
      </c>
      <c r="C19" s="212" t="str">
        <f>VLOOKUP(B19,'Sales Master'!A$3:B$530,2,0)</f>
        <v>P3001B</v>
      </c>
      <c r="D19" s="461" t="str">
        <f>VLOOKUP(C19,'Sales Master'!B$3:D$530,2,)</f>
        <v>Atap Seeds in Syrup 亚嗒子</v>
      </c>
      <c r="E19" s="461"/>
      <c r="F19" s="461"/>
      <c r="G19" s="76">
        <v>5</v>
      </c>
      <c r="H19" s="247" t="str">
        <f>VLOOKUP(C19,'Sales Master'!$B$3:$F$2413,5,0)</f>
        <v>NW(1.6:0.6) 2.2kg/ Bag包</v>
      </c>
      <c r="I19" s="462" t="str">
        <f>VLOOKUP(C19,'Sales Master'!$B$3:$E$2413,4,0)</f>
        <v>DO!</v>
      </c>
      <c r="J19" s="462"/>
      <c r="K19" s="83">
        <f>VLOOKUP(C19,'Sales Master'!B$3:I$530,8,0)</f>
        <v>10</v>
      </c>
      <c r="L19" s="84">
        <f>K19*G19</f>
        <v>50</v>
      </c>
    </row>
    <row r="20" spans="2:22" ht="20.149999999999999" customHeight="1" x14ac:dyDescent="0.45">
      <c r="B20" s="58">
        <v>520705</v>
      </c>
      <c r="C20" s="212" t="str">
        <f>VLOOKUP(B20,'Sales Master'!A$3:B$530,2,0)</f>
        <v>P3002</v>
      </c>
      <c r="D20" s="461" t="str">
        <f>VLOOKUP(C20,'Sales Master'!B$3:D$530,2,)</f>
        <v>Chin Chow  仙草</v>
      </c>
      <c r="E20" s="461"/>
      <c r="F20" s="461"/>
      <c r="G20" s="76">
        <v>2</v>
      </c>
      <c r="H20" s="247" t="str">
        <f>VLOOKUP(C20,'Sales Master'!$B$3:$F$2413,5,0)</f>
        <v>4 KG/ Pkt包</v>
      </c>
      <c r="I20" s="462" t="str">
        <f>VLOOKUP(C20,'Sales Master'!$B$3:$E$2413,4,0)</f>
        <v>TSM</v>
      </c>
      <c r="J20" s="462"/>
      <c r="K20" s="83">
        <f>VLOOKUP(C20,'Sales Master'!B$3:I$530,8,0)</f>
        <v>6</v>
      </c>
      <c r="L20" s="84">
        <f>K20*G20</f>
        <v>12</v>
      </c>
    </row>
    <row r="21" spans="2:22" ht="20.149999999999999" customHeight="1" x14ac:dyDescent="0.45">
      <c r="B21" s="58">
        <v>520721</v>
      </c>
      <c r="C21" s="212" t="str">
        <f>VLOOKUP(B21,'Sales Master'!A$3:B$530,2,0)</f>
        <v>P3004A</v>
      </c>
      <c r="D21" s="461" t="str">
        <f>VLOOKUP(C21,'Sales Master'!B$3:D$530,2,)</f>
        <v>GingKo Nut (Peel off) 白果仁</v>
      </c>
      <c r="E21" s="461"/>
      <c r="F21" s="461"/>
      <c r="G21" s="76">
        <v>2</v>
      </c>
      <c r="H21" s="247" t="str">
        <f>VLOOKUP(C21,'Sales Master'!$B$3:$F$2413,5,0)</f>
        <v>1 KG (500 GM X 2)</v>
      </c>
      <c r="I21" s="462" t="str">
        <f>VLOOKUP(C21,'Sales Master'!$B$3:$E$2413,4,0)</f>
        <v>-</v>
      </c>
      <c r="J21" s="462"/>
      <c r="K21" s="83">
        <f>VLOOKUP(C21,'Sales Master'!B$3:I$530,8,0)</f>
        <v>4.5</v>
      </c>
      <c r="L21" s="84">
        <f t="shared" ref="L21" si="1">K21*G21</f>
        <v>9</v>
      </c>
    </row>
    <row r="22" spans="2:22" ht="20.149999999999999" customHeight="1" x14ac:dyDescent="0.45">
      <c r="B22" s="58">
        <v>520738</v>
      </c>
      <c r="C22" s="212" t="str">
        <f>VLOOKUP(B22,'Sales Master'!A$3:B$530,2,0)</f>
        <v>P3005A</v>
      </c>
      <c r="D22" s="461" t="str">
        <f>VLOOKUP(C22,'Sales Master'!B$3:D$530,2,)</f>
        <v>Red Bean 红豆 (5.5 mm)</v>
      </c>
      <c r="E22" s="461"/>
      <c r="F22" s="461"/>
      <c r="G22" s="76">
        <v>2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17.5</v>
      </c>
      <c r="L22" s="84">
        <f>K22*G22</f>
        <v>35</v>
      </c>
    </row>
    <row r="23" spans="2:22" ht="20.149999999999999" customHeight="1" x14ac:dyDescent="0.45">
      <c r="B23" s="58">
        <v>520696</v>
      </c>
      <c r="C23" s="212" t="str">
        <f>VLOOKUP(B23,'Sales Master'!A$3:B$530,2,0)</f>
        <v>P3016A</v>
      </c>
      <c r="D23" s="461" t="str">
        <f>VLOOKUP(C23,'Sales Master'!B$3:D$530,2,)</f>
        <v>Pearl Barley 薏米</v>
      </c>
      <c r="E23" s="461"/>
      <c r="F23" s="461"/>
      <c r="G23" s="76">
        <v>1</v>
      </c>
      <c r="H23" s="247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10</v>
      </c>
      <c r="L23" s="84">
        <f>K23*G23</f>
        <v>10</v>
      </c>
    </row>
    <row r="24" spans="2:22" ht="20.149999999999999" customHeight="1" x14ac:dyDescent="0.45">
      <c r="B24" s="58">
        <v>520714</v>
      </c>
      <c r="C24" s="212" t="str">
        <f>VLOOKUP(B24,'Sales Master'!A$3:B$530,2,0)</f>
        <v>P3019A</v>
      </c>
      <c r="D24" s="461" t="str">
        <f>VLOOKUP(C24,'Sales Master'!B$3:D$530,2,)</f>
        <v>Dried Longan 龙眼干</v>
      </c>
      <c r="E24" s="461"/>
      <c r="F24" s="461"/>
      <c r="G24" s="76">
        <v>5</v>
      </c>
      <c r="H24" s="247" t="str">
        <f>VLOOKUP(C24,'Sales Master'!$B$3:$F$2413,5,0)</f>
        <v>1 kg</v>
      </c>
      <c r="I24" s="462" t="str">
        <f>VLOOKUP(C24,'Sales Master'!$B$3:$E$2413,4,0)</f>
        <v>TL</v>
      </c>
      <c r="J24" s="462"/>
      <c r="K24" s="83">
        <f>VLOOKUP(C24,'Sales Master'!B$3:I$530,8,0)</f>
        <v>13</v>
      </c>
      <c r="L24" s="84">
        <f>K24*G24</f>
        <v>65</v>
      </c>
    </row>
    <row r="25" spans="2:22" ht="20.149999999999999" customHeight="1" x14ac:dyDescent="0.45">
      <c r="B25" s="58">
        <v>520728</v>
      </c>
      <c r="C25" s="212" t="str">
        <f>VLOOKUP(B25,'Sales Master'!A$3:B$530,2,0)</f>
        <v>P4010</v>
      </c>
      <c r="D25" s="461" t="str">
        <f>VLOOKUP(C25,'Sales Master'!B$3:D$530,2,)</f>
        <v>Lychee in Syrup 荔枝</v>
      </c>
      <c r="E25" s="461"/>
      <c r="F25" s="461"/>
      <c r="G25" s="76">
        <v>1</v>
      </c>
      <c r="H25" s="247" t="str">
        <f>VLOOKUP(C25,'Sales Master'!$B$3:$F$2413,5,0)</f>
        <v>12can/箱</v>
      </c>
      <c r="I25" s="462" t="str">
        <f>VLOOKUP(C25,'Sales Master'!$B$3:$E$2413,4,0)</f>
        <v>MiLi</v>
      </c>
      <c r="J25" s="462"/>
      <c r="K25" s="83">
        <f>VLOOKUP(C25,'Sales Master'!B$3:I$530,8,0)</f>
        <v>24</v>
      </c>
      <c r="L25" s="84">
        <f>K25*G25</f>
        <v>24</v>
      </c>
    </row>
    <row r="26" spans="2:22" ht="20.149999999999999" customHeight="1" x14ac:dyDescent="0.45">
      <c r="B26" s="58">
        <v>520719</v>
      </c>
      <c r="C26" s="212" t="str">
        <f>VLOOKUP(B26,'Sales Master'!A$3:B$530,2,0)</f>
        <v>P4013</v>
      </c>
      <c r="D26" s="461" t="str">
        <f>VLOOKUP(C26,'Sales Master'!B$3:D$530,2,)</f>
        <v>Fruit Cocktail 杂果</v>
      </c>
      <c r="E26" s="461"/>
      <c r="F26" s="461"/>
      <c r="G26" s="76">
        <v>1</v>
      </c>
      <c r="H26" s="247" t="str">
        <f>VLOOKUP(C26,'Sales Master'!$B$3:$F$2413,5,0)</f>
        <v>820 GM x 12/ Ctn箱</v>
      </c>
      <c r="I26" s="462" t="str">
        <f>VLOOKUP(C26,'Sales Master'!$B$3:$E$2413,4,0)</f>
        <v>Statue</v>
      </c>
      <c r="J26" s="462"/>
      <c r="K26" s="83">
        <f>VLOOKUP(C26,'Sales Master'!B$3:I$530,8,0)</f>
        <v>37</v>
      </c>
      <c r="L26" s="84">
        <f t="shared" ref="L26" si="2">K26*G26</f>
        <v>37</v>
      </c>
    </row>
    <row r="27" spans="2:22" ht="20.149999999999999" customHeight="1" x14ac:dyDescent="0.45">
      <c r="B27" s="58">
        <v>520711</v>
      </c>
      <c r="C27" s="212" t="str">
        <f>VLOOKUP(B27,'Sales Master'!A$3:B$530,2,0)</f>
        <v>P4014</v>
      </c>
      <c r="D27" s="461" t="str">
        <f>VLOOKUP(C27,'Sales Master'!B$3:D$530,2,)</f>
        <v>Cream Corn 玉米浆</v>
      </c>
      <c r="E27" s="461"/>
      <c r="F27" s="461"/>
      <c r="G27" s="76">
        <v>1</v>
      </c>
      <c r="H27" s="247" t="str">
        <f>VLOOKUP(C27,'Sales Master'!$B$3:$F$2413,5,0)</f>
        <v>410 GM x 24/ Ctn箱</v>
      </c>
      <c r="I27" s="462" t="str">
        <f>VLOOKUP(C27,'Sales Master'!$B$3:$E$2413,4,0)</f>
        <v>Statue</v>
      </c>
      <c r="J27" s="462"/>
      <c r="K27" s="83">
        <f>VLOOKUP(C27,'Sales Master'!B$3:I$530,8,0)</f>
        <v>23</v>
      </c>
      <c r="L27" s="84">
        <f>K27*G27</f>
        <v>23</v>
      </c>
    </row>
    <row r="28" spans="2:22" ht="20.149999999999999" customHeight="1" x14ac:dyDescent="0.45">
      <c r="B28" s="58"/>
      <c r="C28" s="212" t="s">
        <v>1271</v>
      </c>
      <c r="D28" s="461" t="str">
        <f>VLOOKUP(C28,'Sales Master'!B$3:D$530,2,)</f>
        <v>Coconut Milk 天然鲜椰浆</v>
      </c>
      <c r="E28" s="461"/>
      <c r="F28" s="461"/>
      <c r="G28" s="76">
        <v>12</v>
      </c>
      <c r="H28" s="247" t="str">
        <f>VLOOKUP(C28,'Sales Master'!$B$3:$F$2413,5,0)</f>
        <v>500GM/ Pkt包</v>
      </c>
      <c r="I28" s="462" t="str">
        <f>VLOOKUP(C28,'Sales Master'!$B$3:$E$2413,4,0)</f>
        <v>Heng Guan</v>
      </c>
      <c r="J28" s="462"/>
      <c r="K28" s="83">
        <f>VLOOKUP(C28,'Sales Master'!B$3:I$530,8,0)</f>
        <v>2.1</v>
      </c>
      <c r="L28" s="84">
        <f>K28*G28</f>
        <v>25.200000000000003</v>
      </c>
    </row>
    <row r="29" spans="2:22" ht="20.149999999999999" customHeight="1" x14ac:dyDescent="0.45">
      <c r="B29" s="58">
        <v>520700</v>
      </c>
      <c r="C29" s="212" t="str">
        <f>VLOOKUP(B29,'Sales Master'!A$3:B$530,2,0)</f>
        <v>P5002A</v>
      </c>
      <c r="D29" s="461" t="str">
        <f>VLOOKUP(C29,'Sales Master'!B$3:D$530,2,)</f>
        <v>Brown Sugar 黑糖</v>
      </c>
      <c r="E29" s="461"/>
      <c r="F29" s="461"/>
      <c r="G29" s="76">
        <v>3</v>
      </c>
      <c r="H29" s="247" t="str">
        <f>VLOOKUP(C29,'Sales Master'!$B$3:$F$2413,5,0)</f>
        <v>6 KG</v>
      </c>
      <c r="I29" s="462" t="str">
        <f>VLOOKUP(C29,'Sales Master'!$B$3:$E$2413,4,0)</f>
        <v>Star</v>
      </c>
      <c r="J29" s="462"/>
      <c r="K29" s="83">
        <f>VLOOKUP(C29,'Sales Master'!B$3:I$530,8,0)</f>
        <v>15.5</v>
      </c>
      <c r="L29" s="84">
        <f t="shared" ref="L29:L30" si="3">K29*G29</f>
        <v>46.5</v>
      </c>
    </row>
    <row r="30" spans="2:22" ht="20.149999999999999" customHeight="1" x14ac:dyDescent="0.45">
      <c r="B30" s="58">
        <v>520731</v>
      </c>
      <c r="C30" s="212" t="str">
        <f>VLOOKUP(B30,'Sales Master'!A$3:B$530,2,0)</f>
        <v>P6007</v>
      </c>
      <c r="D30" s="461" t="str">
        <f>VLOOKUP(C30,'Sales Master'!B$3:D$530,2,)</f>
        <v>Pandan Leaf 班兰叶</v>
      </c>
      <c r="E30" s="461"/>
      <c r="F30" s="461"/>
      <c r="G30" s="76">
        <v>1</v>
      </c>
      <c r="H30" s="247" t="str">
        <f>VLOOKUP(C30,'Sales Master'!$B$3:$F$2413,5,0)</f>
        <v>1 KG</v>
      </c>
      <c r="I30" s="462" t="str">
        <f>VLOOKUP(C30,'Sales Master'!$B$3:$E$2413,4,0)</f>
        <v>-</v>
      </c>
      <c r="J30" s="462"/>
      <c r="K30" s="83">
        <f>VLOOKUP(C30,'Sales Master'!B$3:I$530,8,0)</f>
        <v>1.8</v>
      </c>
      <c r="L30" s="84">
        <f t="shared" si="3"/>
        <v>1.8</v>
      </c>
    </row>
    <row r="31" spans="2:22" ht="20.149999999999999" customHeight="1" x14ac:dyDescent="0.45">
      <c r="B31" s="58">
        <v>520726</v>
      </c>
      <c r="C31" s="212" t="str">
        <f>VLOOKUP(B31,'Sales Master'!A$3:B$530,2,0)</f>
        <v>P6008</v>
      </c>
      <c r="D31" s="461" t="str">
        <f>VLOOKUP(C31,'Sales Master'!B$3:D$530,2,)</f>
        <v>Lime 酸甘</v>
      </c>
      <c r="E31" s="461"/>
      <c r="F31" s="461"/>
      <c r="G31" s="76">
        <v>1</v>
      </c>
      <c r="H31" s="247" t="str">
        <f>VLOOKUP(C31,'Sales Master'!$B$3:$F$2413,5,0)</f>
        <v>1 KG</v>
      </c>
      <c r="I31" s="462" t="str">
        <f>VLOOKUP(C31,'Sales Master'!$B$3:$E$2413,4,0)</f>
        <v>-</v>
      </c>
      <c r="J31" s="462"/>
      <c r="K31" s="83">
        <f>VLOOKUP(C31,'Sales Master'!B$3:I$530,8,0)</f>
        <v>2.8</v>
      </c>
      <c r="L31" s="84">
        <f t="shared" ref="L31" si="4">K31*G31</f>
        <v>2.8</v>
      </c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247"/>
      <c r="I32" s="462"/>
      <c r="J32" s="462"/>
      <c r="K32" s="83"/>
      <c r="L32" s="84"/>
    </row>
    <row r="33" spans="2:13" ht="20.149999999999999" customHeight="1" x14ac:dyDescent="0.45">
      <c r="B33" s="29"/>
      <c r="C33" s="17"/>
      <c r="G33" s="76"/>
      <c r="H33" s="247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454"/>
      <c r="E34" s="454"/>
      <c r="F34" s="454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SUM(L18:L35)</f>
        <v>360.8</v>
      </c>
      <c r="M36" s="63">
        <f>SUM(P18:P36)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360.8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32.472000000000001</v>
      </c>
    </row>
    <row r="40" spans="2:13" ht="20.149999999999999" customHeight="1" thickBot="1" x14ac:dyDescent="0.5">
      <c r="B40" s="10" t="s">
        <v>700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393.27199999999999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690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I25:J25"/>
    <mergeCell ref="D25:F25"/>
    <mergeCell ref="J40:K40"/>
    <mergeCell ref="D22:F22"/>
    <mergeCell ref="J38:K38"/>
    <mergeCell ref="D34:F34"/>
    <mergeCell ref="J36:K36"/>
    <mergeCell ref="D32:F32"/>
    <mergeCell ref="I32:J32"/>
    <mergeCell ref="I22:J22"/>
    <mergeCell ref="D30:F30"/>
    <mergeCell ref="I30:J30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31:F31"/>
    <mergeCell ref="I26:J26"/>
    <mergeCell ref="D26:F26"/>
    <mergeCell ref="I31:J31"/>
    <mergeCell ref="D27:F27"/>
    <mergeCell ref="I28:J28"/>
    <mergeCell ref="D29:F29"/>
    <mergeCell ref="I29:J29"/>
    <mergeCell ref="I27:J27"/>
    <mergeCell ref="D28:F28"/>
    <mergeCell ref="D19:F19"/>
    <mergeCell ref="I19:J19"/>
    <mergeCell ref="D20:F20"/>
    <mergeCell ref="I20:J20"/>
    <mergeCell ref="I24:J24"/>
    <mergeCell ref="D24:F24"/>
    <mergeCell ref="D21:F21"/>
    <mergeCell ref="I21:J21"/>
  </mergeCells>
  <conditionalFormatting sqref="C18:C31">
    <cfRule type="duplicateValues" dxfId="21" priority="2751"/>
  </conditionalFormatting>
  <conditionalFormatting sqref="C32:C33">
    <cfRule type="duplicateValues" dxfId="20" priority="258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4321-2D63-4004-B6E1-187DD68AB870}">
  <sheetPr>
    <tabColor rgb="FFFFC000"/>
    <pageSetUpPr fitToPage="1"/>
  </sheetPr>
  <dimension ref="B1:N49"/>
  <sheetViews>
    <sheetView topLeftCell="A36" workbookViewId="0">
      <selection activeCell="L46" sqref="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2025</v>
      </c>
      <c r="J10" s="24" t="s">
        <v>27</v>
      </c>
      <c r="K10" s="493">
        <v>202410401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                                                               602B Tampines Ave 9, #01-01                  Singapore 522602</v>
      </c>
      <c r="G11" s="481"/>
      <c r="H11" s="482"/>
      <c r="J11" s="26" t="s">
        <v>9</v>
      </c>
      <c r="K11" s="495">
        <v>45582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892</v>
      </c>
      <c r="D18" s="461" t="str">
        <f>VLOOKUP(C18,'Sales Master'!B$3:D$530,2,)</f>
        <v>Chrysanthemum 菊花</v>
      </c>
      <c r="E18" s="461"/>
      <c r="F18" s="461"/>
      <c r="G18" s="76">
        <v>2</v>
      </c>
      <c r="H18" s="263" t="str">
        <f>VLOOKUP(C18,'Sales Master'!$B$3:$F$2481,5,0)</f>
        <v>100gm x 10PKT/Bag</v>
      </c>
      <c r="I18" s="497" t="str">
        <f>VLOOKUP(C18,'Sales Master'!$B$3:$E$2481,4,0)</f>
        <v>-</v>
      </c>
      <c r="J18" s="497"/>
      <c r="K18" s="30">
        <f>VLOOKUP(C18,'Sales Master'!B$3:J$530,9,0)</f>
        <v>20</v>
      </c>
      <c r="L18" s="64">
        <f>K18*G18</f>
        <v>40</v>
      </c>
      <c r="M18" s="65"/>
    </row>
    <row r="19" spans="2:13" ht="20.149999999999999" customHeight="1" x14ac:dyDescent="0.45">
      <c r="B19" s="29"/>
      <c r="C19" s="212" t="s">
        <v>919</v>
      </c>
      <c r="D19" s="492" t="str">
        <f>VLOOKUP(C19,'Sales Master'!B$3:D$530,2,)</f>
        <v>Liquorice 甘草</v>
      </c>
      <c r="E19" s="492"/>
      <c r="F19" s="492"/>
      <c r="G19" s="76">
        <v>1</v>
      </c>
      <c r="H19" s="263" t="str">
        <f>VLOOKUP(C19,'Sales Master'!$B$3:$F$2481,5,0)</f>
        <v>1kg</v>
      </c>
      <c r="I19" s="497" t="str">
        <f>VLOOKUP(C19,'Sales Master'!$B$3:$E$2481,4,0)</f>
        <v>-</v>
      </c>
      <c r="J19" s="497"/>
      <c r="K19" s="30">
        <f>VLOOKUP(C19,'Sales Master'!B$3:J$530,9,0)</f>
        <v>13</v>
      </c>
      <c r="L19" s="64">
        <f>K19*G19</f>
        <v>13</v>
      </c>
      <c r="M19" s="65"/>
    </row>
    <row r="20" spans="2:13" ht="20.149999999999999" customHeight="1" x14ac:dyDescent="0.45">
      <c r="B20" s="29"/>
      <c r="C20" s="212" t="s">
        <v>1809</v>
      </c>
      <c r="D20" s="461" t="str">
        <f>VLOOKUP(C20,'Sales Master'!B$3:D$530,2,)</f>
        <v>Chinese Sugarcane 竹蔗</v>
      </c>
      <c r="E20" s="461"/>
      <c r="F20" s="461"/>
      <c r="G20" s="76">
        <v>1</v>
      </c>
      <c r="H20" s="263" t="str">
        <f>VLOOKUP(C20,'Sales Master'!$B$3:$F$2481,5,0)</f>
        <v>100gm x 10PKT/ Bag</v>
      </c>
      <c r="I20" s="497" t="str">
        <f>VLOOKUP(C20,'Sales Master'!$B$3:$E$2481,4,0)</f>
        <v>-</v>
      </c>
      <c r="J20" s="497"/>
      <c r="K20" s="30">
        <f>VLOOKUP(C20,'Sales Master'!B$3:J$530,9,0)</f>
        <v>10</v>
      </c>
      <c r="L20" s="64">
        <f>K20*G20</f>
        <v>10</v>
      </c>
      <c r="M20" s="65"/>
    </row>
    <row r="21" spans="2:13" ht="20.149999999999999" customHeight="1" x14ac:dyDescent="0.45">
      <c r="B21" s="29"/>
      <c r="C21" s="212" t="s">
        <v>1915</v>
      </c>
      <c r="D21" s="461" t="str">
        <f>VLOOKUP(C21,'Sales Master'!B$3:D$530,2,)</f>
        <v>Xia Gu Cao 夏古草</v>
      </c>
      <c r="E21" s="461"/>
      <c r="F21" s="461"/>
      <c r="G21" s="76">
        <v>1</v>
      </c>
      <c r="H21" s="263" t="str">
        <f>VLOOKUP(C21,'Sales Master'!$B$3:$F$2481,5,0)</f>
        <v>1kg / Pkt</v>
      </c>
      <c r="I21" s="497" t="str">
        <f>VLOOKUP(C21,'Sales Master'!$B$3:$E$2481,4,0)</f>
        <v>-</v>
      </c>
      <c r="J21" s="497"/>
      <c r="K21" s="30">
        <f>VLOOKUP(C21,'Sales Master'!B$3:J$530,9,0)</f>
        <v>13.8</v>
      </c>
      <c r="L21" s="64">
        <f>K21*G21</f>
        <v>13.8</v>
      </c>
      <c r="M21" s="65"/>
    </row>
    <row r="22" spans="2:13" ht="20.149999999999999" customHeight="1" x14ac:dyDescent="0.45">
      <c r="B22" s="29"/>
      <c r="C22" s="212" t="s">
        <v>923</v>
      </c>
      <c r="D22" s="461" t="str">
        <f>VLOOKUP(C22,'Sales Master'!B$3:D$530,2,)</f>
        <v>Honeysuckle 金银花</v>
      </c>
      <c r="E22" s="461"/>
      <c r="F22" s="461"/>
      <c r="G22" s="76">
        <v>1</v>
      </c>
      <c r="H22" s="263" t="str">
        <f>VLOOKUP(C22,'Sales Master'!$B$3:$F$2481,5,0)</f>
        <v>1kg</v>
      </c>
      <c r="I22" s="497">
        <f>VLOOKUP(C22,'Sales Master'!$B$3:$E$2481,4,0)</f>
        <v>0</v>
      </c>
      <c r="J22" s="497"/>
      <c r="K22" s="30">
        <f>VLOOKUP(C22,'Sales Master'!B$3:J$530,9,0)</f>
        <v>60</v>
      </c>
      <c r="L22" s="64">
        <f>K22*G22</f>
        <v>60</v>
      </c>
      <c r="M22" s="65"/>
    </row>
    <row r="23" spans="2:13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30"/>
      <c r="L23" s="64"/>
      <c r="M23" s="65"/>
    </row>
    <row r="24" spans="2:13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30"/>
      <c r="L24" s="64"/>
      <c r="M24" s="65"/>
    </row>
    <row r="25" spans="2:13" ht="20.149999999999999" customHeight="1" x14ac:dyDescent="0.45">
      <c r="B25" s="29"/>
      <c r="C25" s="212"/>
      <c r="D25" s="461"/>
      <c r="E25" s="461"/>
      <c r="F25" s="461"/>
      <c r="G25" s="76"/>
      <c r="H25" s="186"/>
      <c r="I25" s="497"/>
      <c r="J25" s="497"/>
      <c r="K25" s="30"/>
      <c r="L25" s="64"/>
      <c r="M25" s="65"/>
    </row>
    <row r="26" spans="2:13" ht="20.149999999999999" customHeight="1" x14ac:dyDescent="0.45">
      <c r="B26" s="29"/>
      <c r="C26" s="212"/>
      <c r="D26" s="461"/>
      <c r="E26" s="461"/>
      <c r="F26" s="461"/>
      <c r="G26" s="76"/>
      <c r="H26" s="186"/>
      <c r="I26" s="497"/>
      <c r="J26" s="497"/>
      <c r="K26" s="30"/>
      <c r="L26" s="64"/>
      <c r="M26" s="65"/>
    </row>
    <row r="27" spans="2:13" ht="20.149999999999999" customHeight="1" x14ac:dyDescent="0.45">
      <c r="B27" s="29"/>
      <c r="C27" s="212"/>
      <c r="D27" s="461"/>
      <c r="E27" s="461"/>
      <c r="F27" s="461"/>
      <c r="G27" s="76"/>
      <c r="H27" s="186"/>
      <c r="I27" s="497"/>
      <c r="J27" s="497"/>
      <c r="K27" s="30"/>
      <c r="L27" s="64"/>
      <c r="M27" s="65"/>
    </row>
    <row r="28" spans="2:13" ht="20.149999999999999" customHeight="1" x14ac:dyDescent="0.45">
      <c r="B28" s="29"/>
      <c r="C28" s="212"/>
      <c r="D28" s="461"/>
      <c r="E28" s="461"/>
      <c r="F28" s="461"/>
      <c r="G28" s="76"/>
      <c r="H28" s="186"/>
      <c r="I28" s="497"/>
      <c r="J28" s="497"/>
      <c r="K28" s="30"/>
      <c r="L28" s="64"/>
      <c r="M28" s="65"/>
    </row>
    <row r="29" spans="2:13" ht="20.149999999999999" customHeight="1" x14ac:dyDescent="0.45">
      <c r="B29" s="29"/>
      <c r="C29" s="212"/>
      <c r="D29" s="461"/>
      <c r="E29" s="461"/>
      <c r="F29" s="461"/>
      <c r="G29" s="76"/>
      <c r="H29" s="186"/>
      <c r="I29" s="497"/>
      <c r="J29" s="497"/>
      <c r="K29" s="30"/>
      <c r="L29" s="64"/>
      <c r="M29" s="65"/>
    </row>
    <row r="30" spans="2:13" ht="20.149999999999999" customHeight="1" x14ac:dyDescent="0.45">
      <c r="B30" s="29"/>
      <c r="C30" s="212"/>
      <c r="D30" s="461"/>
      <c r="E30" s="461"/>
      <c r="F30" s="461"/>
      <c r="G30" s="76"/>
      <c r="H30" s="186"/>
      <c r="I30" s="497"/>
      <c r="J30" s="497"/>
      <c r="K30" s="30"/>
      <c r="L30" s="64"/>
      <c r="M30" s="65"/>
    </row>
    <row r="31" spans="2:13" ht="20.149999999999999" customHeight="1" x14ac:dyDescent="0.45">
      <c r="B31" s="29"/>
      <c r="C31" s="212"/>
      <c r="D31" s="461"/>
      <c r="E31" s="461"/>
      <c r="F31" s="461"/>
      <c r="G31" s="76"/>
      <c r="H31" s="186"/>
      <c r="I31" s="497"/>
      <c r="J31" s="497"/>
      <c r="K31" s="30"/>
      <c r="L31" s="64"/>
      <c r="M31" s="65"/>
    </row>
    <row r="32" spans="2:13" ht="20.149999999999999" customHeight="1" x14ac:dyDescent="0.45">
      <c r="B32" s="29"/>
      <c r="C32" s="212"/>
      <c r="D32" s="461"/>
      <c r="E32" s="461"/>
      <c r="F32" s="461"/>
      <c r="G32" s="76"/>
      <c r="H32" s="186"/>
      <c r="I32" s="497"/>
      <c r="J32" s="497"/>
      <c r="K32" s="30"/>
      <c r="L32" s="64"/>
      <c r="M32" s="65"/>
    </row>
    <row r="33" spans="2:13" ht="20.149999999999999" customHeight="1" x14ac:dyDescent="0.45">
      <c r="B33" s="29"/>
      <c r="C33" s="212"/>
      <c r="D33" s="461"/>
      <c r="E33" s="461"/>
      <c r="F33" s="461"/>
      <c r="G33" s="76"/>
      <c r="H33" s="186"/>
      <c r="I33" s="497"/>
      <c r="J33" s="497"/>
      <c r="K33" s="30"/>
      <c r="L33" s="64"/>
      <c r="M33" s="65"/>
    </row>
    <row r="34" spans="2:13" ht="20.149999999999999" customHeight="1" x14ac:dyDescent="0.45">
      <c r="B34" s="29"/>
      <c r="C34" s="17"/>
      <c r="G34" s="76"/>
      <c r="H34" s="186"/>
      <c r="I34" s="208"/>
      <c r="J34" s="208"/>
      <c r="K34" s="30"/>
      <c r="L34" s="64"/>
      <c r="M34" s="65"/>
    </row>
    <row r="35" spans="2:13" ht="20.149999999999999" customHeight="1" thickBot="1" x14ac:dyDescent="0.5">
      <c r="B35" s="32"/>
      <c r="C35" s="33"/>
      <c r="D35" s="490"/>
      <c r="E35" s="490"/>
      <c r="F35" s="490"/>
      <c r="G35" s="33"/>
      <c r="H35" s="57"/>
      <c r="I35" s="474"/>
      <c r="J35" s="474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55" t="s">
        <v>13</v>
      </c>
      <c r="K37" s="456"/>
      <c r="L37" s="38">
        <f>SUM(L14:L35)</f>
        <v>136.80000000000001</v>
      </c>
      <c r="M37" s="63">
        <f>SUM(P18:P35)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136.80000000000001</v>
      </c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12.312000000000001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149.11200000000002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E6CE-D9D2-4FEB-A7EF-130283996256}">
  <sheetPr>
    <tabColor rgb="FFFFC000"/>
    <pageSetUpPr fitToPage="1"/>
  </sheetPr>
  <dimension ref="B1:S42"/>
  <sheetViews>
    <sheetView topLeftCell="A26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2046</v>
      </c>
      <c r="J10" s="24" t="s">
        <v>27</v>
      </c>
      <c r="K10" s="493">
        <v>202408355</v>
      </c>
      <c r="L10" s="494"/>
    </row>
    <row r="11" spans="2:14" ht="20.149999999999999" customHeight="1" x14ac:dyDescent="0.45">
      <c r="B11" s="477" t="s">
        <v>1981</v>
      </c>
      <c r="C11" s="478"/>
      <c r="D11" s="479"/>
      <c r="E11" s="25"/>
      <c r="F11" s="480" t="str">
        <f>VLOOKUP(H10,'Delivery Location'!A$4:N$460,2,0)</f>
        <v>NINE FRESH                                                      10 Admiralty Street, Northlink #04-53, Singapore 757695                               Contact: 65701012 (Ms Cindy)</v>
      </c>
      <c r="G11" s="481"/>
      <c r="H11" s="482"/>
      <c r="J11" s="26" t="s">
        <v>9</v>
      </c>
      <c r="K11" s="495">
        <v>45518</v>
      </c>
      <c r="L11" s="496"/>
    </row>
    <row r="12" spans="2:14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1336</v>
      </c>
    </row>
    <row r="13" spans="2:14" ht="20.149999999999999" customHeight="1" x14ac:dyDescent="0.45">
      <c r="B13" s="488" t="s">
        <v>1247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754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9"/>
      <c r="C18" s="212" t="s">
        <v>953</v>
      </c>
      <c r="D18" s="461" t="str">
        <f>VLOOKUP(C18,'Sales Master'!B$3:D$530,2,)</f>
        <v>Aloe Vera 芦荟 10mm</v>
      </c>
      <c r="E18" s="461"/>
      <c r="F18" s="461"/>
      <c r="G18" s="76">
        <v>48</v>
      </c>
      <c r="H18" s="186" t="str">
        <f>VLOOKUP(C18,'Sales Master'!$B$3:$F$2481,5,0)</f>
        <v>1 Can X A10</v>
      </c>
      <c r="I18" s="497" t="str">
        <f>VLOOKUP(C18,'Sales Master'!$B$3:$E$2481,4,0)</f>
        <v>Chefs</v>
      </c>
      <c r="J18" s="497"/>
      <c r="K18" s="30">
        <f>VLOOKUP(C18,'Sales Master'!B$3:CJ$530,87,0)</f>
        <v>9.4</v>
      </c>
      <c r="L18" s="64">
        <f>K18*G18</f>
        <v>451.20000000000005</v>
      </c>
      <c r="M18" s="65"/>
      <c r="N18" s="145">
        <f>VLOOKUP(C18,'Sales Master'!$B$3:$DA$2272,104,0)</f>
        <v>7</v>
      </c>
      <c r="O18" s="145">
        <f>K18-N18</f>
        <v>2.4000000000000004</v>
      </c>
      <c r="P18" s="145">
        <f>O18*G18</f>
        <v>115.20000000000002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97"/>
      <c r="J19" s="497"/>
      <c r="K19" s="521"/>
      <c r="L19" s="522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521"/>
      <c r="L20" s="522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SUM(L14:L28)</f>
        <v>451.20000000000005</v>
      </c>
      <c r="M30" s="63">
        <f>SUM(P18:P28)</f>
        <v>115.20000000000002</v>
      </c>
      <c r="N30" s="133">
        <f>M30/L30</f>
        <v>0.25531914893617025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451.20000000000005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40.608000000000004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491.80800000000005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BD59-7309-4583-9A09-C7A9E5B78461}">
  <sheetPr>
    <tabColor rgb="FFFFC000"/>
    <pageSetUpPr fitToPage="1"/>
  </sheetPr>
  <dimension ref="A1:M45"/>
  <sheetViews>
    <sheetView topLeftCell="A29" zoomScaleNormal="100" workbookViewId="0">
      <selection activeCell="G23" sqref="G23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2049</v>
      </c>
      <c r="J10" s="24" t="s">
        <v>27</v>
      </c>
      <c r="K10" s="493">
        <v>202501204</v>
      </c>
      <c r="L10" s="494"/>
    </row>
    <row r="11" spans="2:12" ht="20.149999999999999" customHeight="1" x14ac:dyDescent="0.45">
      <c r="B11" s="477" t="s">
        <v>2072</v>
      </c>
      <c r="C11" s="478"/>
      <c r="D11" s="479"/>
      <c r="E11" s="25"/>
      <c r="F11" s="480" t="str">
        <f>VLOOKUP(H10,'Delivery Location'!A$4:N$460,2,0)</f>
        <v>Today Kampung Chicken Rice Restaurant 日日茶室                                                               71 Seng Poh Road #01-49                 Singapore 160071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243"/>
      <c r="C18" s="212" t="s">
        <v>870</v>
      </c>
      <c r="D18" s="461" t="str">
        <f>VLOOKUP(C18,'Sales Master'!B$3:D$530,2,)</f>
        <v>Pearl Barley 薏米</v>
      </c>
      <c r="E18" s="461"/>
      <c r="F18" s="461"/>
      <c r="G18" s="76">
        <v>1</v>
      </c>
      <c r="H18" s="247" t="str">
        <f>VLOOKUP(C18,'Sales Master'!$B$3:$F$2413,5,0)</f>
        <v>5 KG</v>
      </c>
      <c r="I18" s="462" t="str">
        <f>VLOOKUP(C18,'Sales Master'!$B$3:$E$2413,4,0)</f>
        <v>-</v>
      </c>
      <c r="J18" s="462"/>
      <c r="K18" s="83">
        <f>VLOOKUP(C18,'Sales Master'!B$3:I$530,8,0)</f>
        <v>10</v>
      </c>
      <c r="L18" s="84">
        <f t="shared" ref="L18" si="0">K18*G18</f>
        <v>10</v>
      </c>
    </row>
    <row r="19" spans="1:13" ht="20.149999999999999" customHeight="1" x14ac:dyDescent="0.45">
      <c r="A19" s="65"/>
      <c r="B19" s="243"/>
      <c r="C19" s="212" t="s">
        <v>995</v>
      </c>
      <c r="D19" s="461" t="str">
        <f>VLOOKUP(C19,'Sales Master'!B$3:D$530,2,)</f>
        <v>Water Chestnut Juice 马蹄水</v>
      </c>
      <c r="E19" s="461"/>
      <c r="F19" s="461"/>
      <c r="G19" s="76">
        <v>1</v>
      </c>
      <c r="H19" s="247" t="str">
        <f>VLOOKUP(C19,'Sales Master'!$B$3:$F$2413,5,0)</f>
        <v>4 LT</v>
      </c>
      <c r="I19" s="462" t="str">
        <f>VLOOKUP(C19,'Sales Master'!$B$3:$E$2413,4,0)</f>
        <v>-</v>
      </c>
      <c r="J19" s="462"/>
      <c r="K19" s="83">
        <f>VLOOKUP(C19,'Sales Master'!B$3:I$530,8,0)</f>
        <v>32</v>
      </c>
      <c r="L19" s="84">
        <f t="shared" ref="L19" si="1">K19*G19</f>
        <v>32</v>
      </c>
    </row>
    <row r="20" spans="1:13" ht="20.149999999999999" customHeight="1" x14ac:dyDescent="0.45">
      <c r="A20" s="65"/>
      <c r="B20" s="243"/>
      <c r="C20" s="212" t="s">
        <v>996</v>
      </c>
      <c r="D20" s="461" t="str">
        <f>VLOOKUP(C20,'Sales Master'!B$3:D$530,2,)</f>
        <v>Calamansi Juice 酸柑水</v>
      </c>
      <c r="E20" s="461"/>
      <c r="F20" s="461"/>
      <c r="G20" s="76">
        <v>2</v>
      </c>
      <c r="H20" s="247" t="str">
        <f>VLOOKUP(C20,'Sales Master'!$B$3:$F$2413,5,0)</f>
        <v>4 LT</v>
      </c>
      <c r="I20" s="462" t="str">
        <f>VLOOKUP(C20,'Sales Master'!$B$3:$E$2413,4,0)</f>
        <v>-</v>
      </c>
      <c r="J20" s="462"/>
      <c r="K20" s="83">
        <f>VLOOKUP(C20,'Sales Master'!B$3:I$530,8,0)</f>
        <v>32</v>
      </c>
      <c r="L20" s="84">
        <f t="shared" ref="L20" si="2">K20*G20</f>
        <v>64</v>
      </c>
    </row>
    <row r="21" spans="1:13" ht="20.149999999999999" customHeight="1" x14ac:dyDescent="0.45">
      <c r="A21" s="65"/>
      <c r="B21" s="243"/>
      <c r="C21" s="212" t="s">
        <v>1014</v>
      </c>
      <c r="D21" s="461" t="str">
        <f>VLOOKUP(C21,'Sales Master'!B$3:D$530,2,)</f>
        <v>Fine Sugar 白糖</v>
      </c>
      <c r="E21" s="461"/>
      <c r="F21" s="461"/>
      <c r="G21" s="76">
        <v>1</v>
      </c>
      <c r="H21" s="247" t="str">
        <f>VLOOKUP(C21,'Sales Master'!$B$3:$F$2413,5,0)</f>
        <v>25 KGS</v>
      </c>
      <c r="I21" s="462" t="str">
        <f>VLOOKUP(C21,'Sales Master'!$B$3:$E$2413,4,0)</f>
        <v>MITR PHOL/ 蜜朋</v>
      </c>
      <c r="J21" s="462"/>
      <c r="K21" s="83">
        <f>VLOOKUP(C21,'Sales Master'!B$3:I$530,8,0)</f>
        <v>29.5</v>
      </c>
      <c r="L21" s="84">
        <f t="shared" ref="L21" si="3">K21*G21</f>
        <v>29.5</v>
      </c>
    </row>
    <row r="22" spans="1:13" ht="20.149999999999999" customHeight="1" x14ac:dyDescent="0.45">
      <c r="A22" s="65"/>
      <c r="B22" s="243"/>
      <c r="C22" s="212" t="s">
        <v>1307</v>
      </c>
      <c r="D22" s="461" t="str">
        <f>VLOOKUP(C22,'Sales Master'!B$3:D$530,2,)</f>
        <v>Pumpkin Gourd 金瓜</v>
      </c>
      <c r="E22" s="461"/>
      <c r="F22" s="461"/>
      <c r="G22" s="76">
        <v>0.8</v>
      </c>
      <c r="H22" s="247" t="str">
        <f>VLOOKUP(C22,'Sales Master'!$B$3:$F$2413,5,0)</f>
        <v>1 KG</v>
      </c>
      <c r="I22" s="462" t="str">
        <f>VLOOKUP(C22,'Sales Master'!$B$3:$E$2413,4,0)</f>
        <v>-</v>
      </c>
      <c r="J22" s="462"/>
      <c r="K22" s="83">
        <f>VLOOKUP(C22,'Sales Master'!B$3:I$530,8,0)</f>
        <v>2.5</v>
      </c>
      <c r="L22" s="84">
        <f t="shared" ref="L22" si="4">K22*G22</f>
        <v>2</v>
      </c>
    </row>
    <row r="23" spans="1:13" ht="20.149999999999999" customHeight="1" x14ac:dyDescent="0.45">
      <c r="A23" s="65"/>
      <c r="B23" s="243"/>
      <c r="C23" s="212"/>
      <c r="D23" s="461"/>
      <c r="E23" s="461"/>
      <c r="F23" s="461"/>
      <c r="G23" s="76"/>
      <c r="H23" s="247"/>
      <c r="I23" s="462"/>
      <c r="J23" s="462"/>
      <c r="K23" s="83"/>
      <c r="L23" s="84"/>
    </row>
    <row r="24" spans="1:13" ht="20.149999999999999" customHeight="1" x14ac:dyDescent="0.45">
      <c r="A24" s="65"/>
      <c r="B24" s="243"/>
      <c r="C24" s="212"/>
      <c r="D24" s="461"/>
      <c r="E24" s="461"/>
      <c r="F24" s="461"/>
      <c r="G24" s="76"/>
      <c r="H24" s="247"/>
      <c r="I24" s="462"/>
      <c r="J24" s="462"/>
      <c r="K24" s="83"/>
      <c r="L24" s="84"/>
    </row>
    <row r="25" spans="1:13" ht="20.149999999999999" customHeight="1" x14ac:dyDescent="0.45">
      <c r="A25" s="65"/>
      <c r="B25" s="243"/>
      <c r="C25" s="212"/>
      <c r="D25" s="461"/>
      <c r="E25" s="461"/>
      <c r="F25" s="461"/>
      <c r="G25" s="76"/>
      <c r="H25" s="247"/>
      <c r="I25" s="462"/>
      <c r="J25" s="462"/>
      <c r="K25" s="83"/>
      <c r="L25" s="84"/>
    </row>
    <row r="26" spans="1:13" ht="20.149999999999999" customHeight="1" x14ac:dyDescent="0.45">
      <c r="A26" s="65"/>
      <c r="B26" s="243"/>
      <c r="C26" s="212"/>
      <c r="D26" s="461"/>
      <c r="E26" s="461"/>
      <c r="F26" s="461"/>
      <c r="G26" s="76"/>
      <c r="H26" s="247"/>
      <c r="I26" s="462"/>
      <c r="J26" s="462"/>
      <c r="K26" s="83"/>
      <c r="L26" s="84"/>
    </row>
    <row r="27" spans="1:13" ht="20.149999999999999" customHeight="1" x14ac:dyDescent="0.45">
      <c r="A27" s="65"/>
      <c r="B27" s="243"/>
      <c r="C27" s="212"/>
      <c r="D27" s="461"/>
      <c r="E27" s="461"/>
      <c r="F27" s="461"/>
      <c r="G27" s="76"/>
      <c r="H27" s="247"/>
      <c r="I27" s="462"/>
      <c r="J27" s="462"/>
      <c r="K27" s="83"/>
      <c r="L27" s="84"/>
    </row>
    <row r="28" spans="1:13" ht="20.149999999999999" customHeight="1" x14ac:dyDescent="0.45">
      <c r="A28" s="65"/>
      <c r="B28" s="243"/>
      <c r="C28" s="212"/>
      <c r="D28" s="461"/>
      <c r="E28" s="461"/>
      <c r="F28" s="461"/>
      <c r="G28" s="76"/>
      <c r="H28" s="183"/>
      <c r="I28" s="462"/>
      <c r="J28" s="462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4"/>
      <c r="J29" s="514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2" t="s">
        <v>13</v>
      </c>
      <c r="K31" s="513"/>
      <c r="L31" s="143">
        <f>SUM(L18:L30)</f>
        <v>137.5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137.5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12.375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SUM(L32:L34)</f>
        <v>149.875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690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1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0:J20"/>
    <mergeCell ref="I19:J19"/>
    <mergeCell ref="D22:F22"/>
    <mergeCell ref="I22:J22"/>
    <mergeCell ref="I17:J17"/>
    <mergeCell ref="D18:F18"/>
    <mergeCell ref="I18:J18"/>
    <mergeCell ref="D17:F17"/>
    <mergeCell ref="D19:F19"/>
    <mergeCell ref="D21:F21"/>
    <mergeCell ref="D20:F20"/>
    <mergeCell ref="I21:J21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I29:J29"/>
    <mergeCell ref="D23:F23"/>
    <mergeCell ref="I23:J23"/>
    <mergeCell ref="D25:F25"/>
    <mergeCell ref="I25:J25"/>
    <mergeCell ref="D24:F24"/>
    <mergeCell ref="I24:J24"/>
  </mergeCells>
  <hyperlinks>
    <hyperlink ref="B15" r:id="rId1" xr:uid="{B147FECE-C21B-4C63-8D42-6729D02DF76A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R46"/>
  <sheetViews>
    <sheetView topLeftCell="C29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</v>
      </c>
      <c r="J10" s="24" t="s">
        <v>27</v>
      </c>
      <c r="K10" s="493">
        <v>202501087</v>
      </c>
      <c r="L10" s="494"/>
    </row>
    <row r="11" spans="2:12" ht="20.149999999999999" customHeight="1" x14ac:dyDescent="0.45">
      <c r="B11" s="477" t="s">
        <v>415</v>
      </c>
      <c r="C11" s="478"/>
      <c r="D11" s="479"/>
      <c r="E11" s="25"/>
      <c r="F11" s="480" t="str">
        <f>VLOOKUP(H10,'Delivery Location'!A$4:N$460,2,0)</f>
        <v>Balestier Market Pte Ltd                       411, Balestier Road.                         Singapore 329930                                       (Drink Stall)</v>
      </c>
      <c r="G11" s="481"/>
      <c r="H11" s="482"/>
      <c r="J11" s="26" t="s">
        <v>9</v>
      </c>
      <c r="K11" s="495">
        <v>45661</v>
      </c>
      <c r="L11" s="496"/>
    </row>
    <row r="12" spans="2:12" ht="20.149999999999999" customHeight="1" x14ac:dyDescent="0.45">
      <c r="B12" s="488" t="s">
        <v>384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385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9"/>
      <c r="C18" s="212" t="s">
        <v>972</v>
      </c>
      <c r="D18" s="461" t="str">
        <f>VLOOKUP(C18,'Sales Master'!B$3:D$530,2,)</f>
        <v>Evaporated Creamer 淡奶水</v>
      </c>
      <c r="E18" s="461"/>
      <c r="F18" s="461"/>
      <c r="G18" s="17">
        <v>2</v>
      </c>
      <c r="H18" s="186" t="str">
        <f>VLOOKUP(C18,'Sales Master'!$B$3:$F$2481,5,0)</f>
        <v>385 GM x 48/ Ctn箱</v>
      </c>
      <c r="I18" s="520" t="str">
        <f>VLOOKUP(C18,'Sales Master'!$B$3:$E$2481,4,0)</f>
        <v>Marigold</v>
      </c>
      <c r="J18" s="520"/>
      <c r="K18" s="80">
        <f>VLOOKUP(C18,'Sales Master'!B$3:P$530,15,0)</f>
        <v>58</v>
      </c>
      <c r="L18" s="64">
        <f>K18*G18</f>
        <v>116</v>
      </c>
      <c r="M18" s="65"/>
      <c r="N18" s="145">
        <f>VLOOKUP(C18,'Sales Master'!$B$3:$DA$2272,104,0)</f>
        <v>55.045000000000002</v>
      </c>
      <c r="O18" s="145">
        <f>K18-N18</f>
        <v>2.9549999999999983</v>
      </c>
      <c r="P18" s="145">
        <f>O18*G18</f>
        <v>5.9099999999999966</v>
      </c>
      <c r="R18" s="63">
        <f>G18*N18*0.07</f>
        <v>7.7063000000000006</v>
      </c>
    </row>
    <row r="19" spans="2:18" ht="20.149999999999999" customHeight="1" x14ac:dyDescent="0.45">
      <c r="B19" s="29"/>
      <c r="C19" s="212" t="s">
        <v>975</v>
      </c>
      <c r="D19" s="461" t="str">
        <f>VLOOKUP(C19,'Sales Master'!B$3:D$530,2,)</f>
        <v>Sweetened Creamer 练奶</v>
      </c>
      <c r="E19" s="461"/>
      <c r="F19" s="461"/>
      <c r="G19" s="17">
        <v>3</v>
      </c>
      <c r="H19" s="186" t="str">
        <f>VLOOKUP(C19,'Sales Master'!$B$3:$F$2481,5,0)</f>
        <v>380 GM x 48/ Ctn箱</v>
      </c>
      <c r="I19" s="497" t="str">
        <f>VLOOKUP(C19,'Sales Master'!$B$3:$E$2481,4,0)</f>
        <v>Dawn牛</v>
      </c>
      <c r="J19" s="497"/>
      <c r="K19" s="80">
        <f>VLOOKUP(C19,'Sales Master'!B$3:P$530,15,0)</f>
        <v>48</v>
      </c>
      <c r="L19" s="64">
        <f>K19*G19</f>
        <v>144</v>
      </c>
      <c r="M19" s="65"/>
      <c r="N19" s="145">
        <f>VLOOKUP(C19,'Sales Master'!$B$3:$DA$2272,104,0)</f>
        <v>46.325000000000003</v>
      </c>
      <c r="O19" s="145">
        <f>K19-N19</f>
        <v>1.6749999999999972</v>
      </c>
      <c r="P19" s="145">
        <f>O19*G19</f>
        <v>5.0249999999999915</v>
      </c>
      <c r="R19" s="63"/>
    </row>
    <row r="20" spans="2:18" ht="20.149999999999999" customHeight="1" x14ac:dyDescent="0.45">
      <c r="B20" s="185"/>
      <c r="C20" s="212" t="s">
        <v>1014</v>
      </c>
      <c r="D20" s="461" t="str">
        <f>VLOOKUP(C20,'Sales Master'!B$3:D$530,2,)</f>
        <v>Fine Sugar 白糖</v>
      </c>
      <c r="E20" s="461"/>
      <c r="F20" s="461"/>
      <c r="G20" s="17">
        <v>1</v>
      </c>
      <c r="H20" s="186" t="str">
        <f>VLOOKUP(C20,'Sales Master'!$B$3:$F$2481,5,0)</f>
        <v>25 KGS</v>
      </c>
      <c r="I20" s="497" t="str">
        <f>VLOOKUP(C20,'Sales Master'!$B$3:$E$2481,4,0)</f>
        <v>MITR PHOL/ 蜜朋</v>
      </c>
      <c r="J20" s="497"/>
      <c r="K20" s="80">
        <f>VLOOKUP(C20,'Sales Master'!B$3:P$530,15,0)</f>
        <v>31.5</v>
      </c>
      <c r="L20" s="64">
        <f>K20*G20</f>
        <v>31.5</v>
      </c>
      <c r="M20" s="65"/>
      <c r="N20" s="145">
        <f>VLOOKUP(C20,'Sales Master'!$B$3:$DA$2272,104,0)</f>
        <v>24.5</v>
      </c>
      <c r="O20" s="145">
        <f>K20-N20</f>
        <v>7</v>
      </c>
      <c r="P20" s="145">
        <f>O20*G20</f>
        <v>7</v>
      </c>
    </row>
    <row r="21" spans="2:18" ht="20.149999999999999" customHeight="1" x14ac:dyDescent="0.45">
      <c r="B21" s="185"/>
      <c r="C21" s="17"/>
      <c r="G21" s="17"/>
      <c r="H21" s="186"/>
      <c r="I21" s="208"/>
      <c r="J21" s="208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185"/>
      <c r="C22" s="17"/>
      <c r="G22" s="17"/>
      <c r="H22" s="186"/>
      <c r="I22" s="208"/>
      <c r="J22" s="208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53"/>
      <c r="G23" s="76"/>
      <c r="H23" s="211"/>
      <c r="I23" s="462"/>
      <c r="J23" s="462"/>
      <c r="K23" s="83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153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18" ht="20.149999999999999" customHeight="1" x14ac:dyDescent="0.45">
      <c r="B25" s="29"/>
      <c r="C25" s="212"/>
      <c r="D25" s="501"/>
      <c r="E25" s="501"/>
      <c r="F25" s="501"/>
      <c r="G25" s="76"/>
      <c r="H25" s="196"/>
      <c r="I25" s="497"/>
      <c r="J25" s="497"/>
      <c r="K25" s="150"/>
      <c r="L25" s="64"/>
      <c r="M25" s="65"/>
      <c r="N25" s="145"/>
      <c r="O25" s="145"/>
      <c r="P25" s="145"/>
    </row>
    <row r="26" spans="2:18" ht="20.149999999999999" customHeight="1" x14ac:dyDescent="0.45">
      <c r="B26" s="29"/>
      <c r="C26" s="244"/>
      <c r="D26" s="445"/>
      <c r="E26" s="445"/>
      <c r="F26" s="445"/>
      <c r="G26" s="76"/>
      <c r="H26" s="183"/>
      <c r="I26" s="462"/>
      <c r="J26" s="462"/>
      <c r="K26" s="83"/>
      <c r="L26" s="64"/>
      <c r="M26" s="65"/>
    </row>
    <row r="27" spans="2:18" ht="20.149999999999999" customHeight="1" x14ac:dyDescent="0.45">
      <c r="B27" s="29"/>
      <c r="C27" s="244"/>
      <c r="D27" s="445"/>
      <c r="E27" s="445"/>
      <c r="F27" s="445"/>
      <c r="G27" s="76"/>
      <c r="H27" s="183"/>
      <c r="I27" s="462"/>
      <c r="J27" s="462"/>
      <c r="K27" s="83"/>
      <c r="L27" s="64"/>
      <c r="M27" s="65"/>
    </row>
    <row r="28" spans="2:18" ht="20.149999999999999" customHeight="1" x14ac:dyDescent="0.45">
      <c r="B28" s="29"/>
      <c r="C28" s="244"/>
      <c r="D28" s="445"/>
      <c r="E28" s="445"/>
      <c r="F28" s="445"/>
      <c r="G28" s="76"/>
      <c r="H28" s="183"/>
      <c r="I28" s="462"/>
      <c r="J28" s="462"/>
      <c r="K28" s="83"/>
      <c r="L28" s="64"/>
      <c r="M28" s="65"/>
    </row>
    <row r="29" spans="2:18" ht="20.149999999999999" customHeight="1" x14ac:dyDescent="0.45">
      <c r="B29" s="29"/>
      <c r="C29" s="244"/>
      <c r="D29" s="445"/>
      <c r="E29" s="445"/>
      <c r="F29" s="445"/>
      <c r="G29" s="76"/>
      <c r="H29" s="183"/>
      <c r="I29" s="462"/>
      <c r="J29" s="462"/>
      <c r="K29" s="83"/>
      <c r="L29" s="64"/>
      <c r="M29" s="65"/>
    </row>
    <row r="30" spans="2:18" ht="20.149999999999999" customHeight="1" x14ac:dyDescent="0.45">
      <c r="B30" s="29"/>
      <c r="C30" s="17"/>
      <c r="G30" s="17"/>
      <c r="H30" s="186"/>
      <c r="I30" s="186"/>
      <c r="J30" s="186"/>
      <c r="K30" s="80"/>
      <c r="L30" s="64"/>
      <c r="M30" s="65"/>
    </row>
    <row r="31" spans="2:18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SUM(L17:L32)</f>
        <v>291.5</v>
      </c>
      <c r="M33" s="63">
        <f>SUM(P18:P31)</f>
        <v>17.934999999999988</v>
      </c>
      <c r="N33" s="133">
        <f>M33/L33</f>
        <v>6.1526586620926201E-2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291.5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26.234999999999999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317.73500000000001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G39" s="19" t="s">
        <v>460</v>
      </c>
      <c r="H39" s="17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2"/>
    </row>
  </sheetData>
  <mergeCells count="36">
    <mergeCell ref="I20:J20"/>
    <mergeCell ref="D17:F17"/>
    <mergeCell ref="I17:J17"/>
    <mergeCell ref="D19:F19"/>
    <mergeCell ref="I19:J19"/>
    <mergeCell ref="D18:F18"/>
    <mergeCell ref="I18:J18"/>
    <mergeCell ref="D29:F29"/>
    <mergeCell ref="I29:J29"/>
    <mergeCell ref="I26:J26"/>
    <mergeCell ref="J37:K37"/>
    <mergeCell ref="D31:F31"/>
    <mergeCell ref="I31:J31"/>
    <mergeCell ref="J35:K35"/>
    <mergeCell ref="J33:K33"/>
    <mergeCell ref="I27:J27"/>
    <mergeCell ref="D28:F28"/>
    <mergeCell ref="I28:J28"/>
    <mergeCell ref="D26:F26"/>
    <mergeCell ref="D27:F27"/>
    <mergeCell ref="I23:J23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</mergeCells>
  <conditionalFormatting sqref="C23">
    <cfRule type="duplicateValues" dxfId="224" priority="5"/>
  </conditionalFormatting>
  <conditionalFormatting sqref="C24">
    <cfRule type="duplicateValues" dxfId="223" priority="1"/>
  </conditionalFormatting>
  <conditionalFormatting sqref="C26:C29">
    <cfRule type="duplicateValues" dxfId="222" priority="3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AEE-7390-490B-B92A-8D67C02AEBDE}">
  <sheetPr>
    <tabColor rgb="FF7030A0"/>
    <pageSetUpPr fitToPage="1"/>
  </sheetPr>
  <dimension ref="B1:V45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2051</v>
      </c>
      <c r="J10" s="24" t="s">
        <v>27</v>
      </c>
      <c r="K10" s="493">
        <v>202407290</v>
      </c>
      <c r="L10" s="494"/>
    </row>
    <row r="11" spans="2:14" ht="20.149999999999999" customHeight="1" x14ac:dyDescent="0.45">
      <c r="B11" s="477" t="s">
        <v>2071</v>
      </c>
      <c r="C11" s="478"/>
      <c r="D11" s="479"/>
      <c r="E11" s="25"/>
      <c r="F11" s="480" t="str">
        <f>VLOOKUP(H10,'Delivery Location'!A$4:N$460,2,0)</f>
        <v>Diablo Mart Pte Ltd                                         Diablo Mart @ WE                                           30 Sunview Way, Singapore 627544                Contact: Thomas  Hp: 81279825</v>
      </c>
      <c r="G11" s="481"/>
      <c r="H11" s="482"/>
      <c r="J11" s="26" t="s">
        <v>9</v>
      </c>
      <c r="K11" s="495">
        <v>45485</v>
      </c>
      <c r="L11" s="496"/>
    </row>
    <row r="12" spans="2:14" ht="20.149999999999999" customHeight="1" x14ac:dyDescent="0.45">
      <c r="B12" s="588" t="s">
        <v>2069</v>
      </c>
      <c r="C12" s="589"/>
      <c r="D12" s="590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4" ht="20.149999999999999" customHeight="1" x14ac:dyDescent="0.45">
      <c r="B13" s="488" t="s">
        <v>2070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671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x14ac:dyDescent="0.45">
      <c r="B18" s="259"/>
      <c r="C18" s="212" t="s">
        <v>2087</v>
      </c>
      <c r="D18" s="461" t="str">
        <f>VLOOKUP(C18,'Sales Master'!B$3:D$530,2,)</f>
        <v>Grass Jelly 仙草冻</v>
      </c>
      <c r="E18" s="461"/>
      <c r="F18" s="461"/>
      <c r="G18" s="76">
        <v>50</v>
      </c>
      <c r="H18" s="209" t="str">
        <f>VLOOKUP(C18,'Sales Master'!$B$3:$F$2413,5,0)</f>
        <v>150 ML/ Bowl</v>
      </c>
      <c r="I18" s="563" t="str">
        <f>VLOOKUP(C18,'Sales Master'!$B$3:$E$2413,4,0)</f>
        <v>DO!</v>
      </c>
      <c r="J18" s="563"/>
      <c r="K18" s="83">
        <f>VLOOKUP(C18,'Sales Master'!B$3:CP$675,93,0)</f>
        <v>0.85</v>
      </c>
      <c r="L18" s="84">
        <f>K18*G18</f>
        <v>42.5</v>
      </c>
      <c r="M18" s="65"/>
      <c r="N18" s="145">
        <f>VLOOKUP(C18,'Sales Master'!$B$3:$DA$2272,104,0)</f>
        <v>0</v>
      </c>
      <c r="O18" s="145">
        <f>K18-N18</f>
        <v>0.85</v>
      </c>
      <c r="P18" s="145">
        <f>O18*G18</f>
        <v>42.5</v>
      </c>
      <c r="R18" s="19">
        <v>2</v>
      </c>
      <c r="S18" s="19" t="s">
        <v>34</v>
      </c>
      <c r="T18" s="19" t="s">
        <v>62</v>
      </c>
      <c r="V18" s="19">
        <v>6</v>
      </c>
    </row>
    <row r="19" spans="2:22" x14ac:dyDescent="0.45">
      <c r="B19" s="362"/>
      <c r="C19" s="212" t="s">
        <v>2089</v>
      </c>
      <c r="D19" s="461" t="str">
        <f>VLOOKUP(C19,'Sales Master'!B$3:D$530,2,)</f>
        <v>Herbal Jelly 菊花罗汉果冻</v>
      </c>
      <c r="E19" s="461"/>
      <c r="F19" s="461"/>
      <c r="G19" s="76">
        <v>50</v>
      </c>
      <c r="H19" s="209" t="str">
        <f>VLOOKUP(C19,'Sales Master'!$B$3:$F$2413,5,0)</f>
        <v>150 ML/ Bowl</v>
      </c>
      <c r="I19" s="563" t="str">
        <f>VLOOKUP(C19,'Sales Master'!$B$3:$E$2413,4,0)</f>
        <v>DO!</v>
      </c>
      <c r="J19" s="563"/>
      <c r="K19" s="83">
        <f>VLOOKUP(C19,'Sales Master'!B$3:CP$675,93,0)</f>
        <v>1.2</v>
      </c>
      <c r="L19" s="84">
        <f>K19*G19</f>
        <v>60</v>
      </c>
      <c r="M19" s="65"/>
      <c r="N19" s="145">
        <f>VLOOKUP(C19,'Sales Master'!$B$3:$DA$2272,104,0)</f>
        <v>0</v>
      </c>
      <c r="O19" s="145">
        <f>K19-N19</f>
        <v>1.2</v>
      </c>
      <c r="P19" s="145">
        <f>O19*G19</f>
        <v>60</v>
      </c>
    </row>
    <row r="20" spans="2:22" ht="20.149999999999999" customHeight="1" x14ac:dyDescent="0.45">
      <c r="B20" s="58"/>
      <c r="C20" s="212"/>
      <c r="D20" s="461"/>
      <c r="E20" s="461"/>
      <c r="F20" s="461"/>
      <c r="G20" s="76"/>
      <c r="H20" s="209"/>
      <c r="I20" s="563"/>
      <c r="J20" s="563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61"/>
      <c r="E21" s="461"/>
      <c r="F21" s="461"/>
      <c r="G21" s="76"/>
      <c r="H21" s="209"/>
      <c r="I21" s="563"/>
      <c r="J21" s="563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61"/>
      <c r="E22" s="461"/>
      <c r="F22" s="461"/>
      <c r="G22" s="76"/>
      <c r="H22" s="209"/>
      <c r="I22" s="563"/>
      <c r="J22" s="563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2"/>
      <c r="D23" s="461"/>
      <c r="E23" s="461"/>
      <c r="F23" s="461"/>
      <c r="G23" s="76"/>
      <c r="H23" s="209"/>
      <c r="I23" s="563"/>
      <c r="J23" s="563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61"/>
      <c r="E24" s="461"/>
      <c r="F24" s="461"/>
      <c r="G24" s="17"/>
      <c r="H24" s="209"/>
      <c r="I24" s="563"/>
      <c r="J24" s="563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61"/>
      <c r="E25" s="461"/>
      <c r="F25" s="461"/>
      <c r="G25" s="76"/>
      <c r="H25" s="209"/>
      <c r="I25" s="563"/>
      <c r="J25" s="563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209"/>
      <c r="I26" s="563"/>
      <c r="J26" s="563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209"/>
      <c r="I27" s="563"/>
      <c r="J27" s="563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61"/>
      <c r="E28" s="461"/>
      <c r="F28" s="461"/>
      <c r="G28" s="17"/>
      <c r="H28" s="209"/>
      <c r="I28" s="563"/>
      <c r="J28" s="563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D29" s="461"/>
      <c r="E29" s="461"/>
      <c r="F29" s="461"/>
      <c r="G29" s="76"/>
      <c r="H29" s="56"/>
      <c r="I29" s="491"/>
      <c r="J29" s="491"/>
      <c r="K29" s="83"/>
      <c r="L29" s="84"/>
    </row>
    <row r="30" spans="2:22" ht="20.149999999999999" customHeight="1" x14ac:dyDescent="0.45">
      <c r="B30" s="58"/>
      <c r="C30" s="17"/>
      <c r="D30" s="461"/>
      <c r="E30" s="461"/>
      <c r="F30" s="461"/>
      <c r="G30" s="76"/>
      <c r="H30" s="56"/>
      <c r="I30" s="491"/>
      <c r="J30" s="491"/>
      <c r="K30" s="83"/>
      <c r="L30" s="84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491"/>
      <c r="J31" s="491"/>
      <c r="K31" s="83"/>
      <c r="L31" s="84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SUM(L18:L32)</f>
        <v>102.5</v>
      </c>
      <c r="M33" s="63">
        <f>SUM(P18:P32)</f>
        <v>102.5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102.5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9.2249999999999996</v>
      </c>
    </row>
    <row r="37" spans="2:14" ht="20.149999999999999" customHeight="1" thickBot="1" x14ac:dyDescent="0.5">
      <c r="B37" s="10" t="s">
        <v>700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111.72499999999999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690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401BA-39FB-48FB-A94A-E6E0BDA025E3}">
  <sheetPr>
    <tabColor rgb="FF7030A0"/>
    <pageSetUpPr fitToPage="1"/>
  </sheetPr>
  <dimension ref="B1:V48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2064</v>
      </c>
      <c r="J10" s="24" t="s">
        <v>27</v>
      </c>
      <c r="K10" s="493">
        <v>202501144</v>
      </c>
      <c r="L10" s="494"/>
    </row>
    <row r="11" spans="2:12" ht="20.149999999999999" customHeight="1" x14ac:dyDescent="0.45">
      <c r="B11" s="477" t="s">
        <v>2152</v>
      </c>
      <c r="C11" s="478"/>
      <c r="D11" s="479"/>
      <c r="E11" s="25"/>
      <c r="F11" s="480" t="str">
        <f>VLOOKUP(H10,'Delivery Location'!A$4:N$460,2,0)</f>
        <v>Hawkers Street Tampines-Drinks Stall            10 Tampines Central 1, #05-05/06/07, Tampines 1, Singapore 529536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2065</v>
      </c>
      <c r="C12" s="449"/>
      <c r="D12" s="489"/>
      <c r="E12" s="25"/>
      <c r="F12" s="483"/>
      <c r="G12" s="484"/>
      <c r="H12" s="485"/>
      <c r="J12" s="26" t="s">
        <v>145</v>
      </c>
      <c r="K12" s="591" t="s">
        <v>2293</v>
      </c>
      <c r="L12" s="592"/>
    </row>
    <row r="13" spans="2:12" ht="20.149999999999999" customHeight="1" x14ac:dyDescent="0.45">
      <c r="B13" s="588" t="s">
        <v>2066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2067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x14ac:dyDescent="0.45">
      <c r="B18" s="259" t="s">
        <v>2117</v>
      </c>
      <c r="C18" s="212" t="str">
        <f>VLOOKUP(B18,'Sales Master'!A$3:B$530,2,0)</f>
        <v>M1046C</v>
      </c>
      <c r="D18" s="564" t="str">
        <f>VLOOKUP(C18,'Sales Master'!B$3:D$530,2,)</f>
        <v>BLACK SESAME PASTE 黑芝麻糊</v>
      </c>
      <c r="E18" s="564"/>
      <c r="F18" s="564"/>
      <c r="G18" s="76">
        <v>15</v>
      </c>
      <c r="H18" s="399" t="str">
        <f>VLOOKUP(C18,'Sales Master'!$B$3:$F$2413,5,0)</f>
        <v>800 GM/ Pkt包</v>
      </c>
      <c r="I18" s="563" t="str">
        <f>VLOOKUP(C18,'Sales Master'!$B$3:$E$2413,4,0)</f>
        <v>DO!</v>
      </c>
      <c r="J18" s="563"/>
      <c r="K18" s="83">
        <f>VLOOKUP(C18,'Sales Master'!B$3:CQ$675,94,0)</f>
        <v>6.4</v>
      </c>
      <c r="L18" s="84">
        <f t="shared" ref="L18" si="0">K18*G18</f>
        <v>96</v>
      </c>
      <c r="M18" s="65"/>
      <c r="R18" s="19">
        <v>2</v>
      </c>
      <c r="S18" s="19" t="s">
        <v>34</v>
      </c>
      <c r="T18" s="19" t="s">
        <v>62</v>
      </c>
      <c r="V18" s="19">
        <v>6</v>
      </c>
    </row>
    <row r="19" spans="2:22" ht="20.149999999999999" customHeight="1" x14ac:dyDescent="0.45">
      <c r="B19" s="259" t="s">
        <v>2096</v>
      </c>
      <c r="C19" s="212" t="str">
        <f>VLOOKUP(B19,'Sales Master'!A$3:B$530,2,0)</f>
        <v>P3004A</v>
      </c>
      <c r="D19" s="461" t="str">
        <f>VLOOKUP(C19,'Sales Master'!B$3:D$530,2,)</f>
        <v>GingKo Nut (Peel off) 白果仁</v>
      </c>
      <c r="E19" s="461"/>
      <c r="F19" s="461"/>
      <c r="G19" s="76">
        <v>2</v>
      </c>
      <c r="H19" s="399" t="str">
        <f>VLOOKUP(C19,'Sales Master'!$B$3:$F$2413,5,0)</f>
        <v>1 KG (500 GM X 2)</v>
      </c>
      <c r="I19" s="563" t="str">
        <f>VLOOKUP(C19,'Sales Master'!$B$3:$E$2413,4,0)</f>
        <v>-</v>
      </c>
      <c r="J19" s="563"/>
      <c r="K19" s="83">
        <f>VLOOKUP(C19,'Sales Master'!B$3:CQ$675,94,0)</f>
        <v>4.5</v>
      </c>
      <c r="L19" s="84">
        <f>K19*G19</f>
        <v>9</v>
      </c>
      <c r="M19" s="65"/>
    </row>
    <row r="20" spans="2:22" ht="20.149999999999999" customHeight="1" x14ac:dyDescent="0.45">
      <c r="B20" s="259" t="s">
        <v>2097</v>
      </c>
      <c r="C20" s="212" t="str">
        <f>VLOOKUP(B20,'Sales Master'!A$3:B$530,2,0)</f>
        <v>P3006A</v>
      </c>
      <c r="D20" s="461" t="str">
        <f>VLOOKUP(C20,'Sales Master'!B$3:D$530,2,)</f>
        <v>Small Red Bean 小红豆</v>
      </c>
      <c r="E20" s="461"/>
      <c r="F20" s="461"/>
      <c r="G20" s="76">
        <v>2</v>
      </c>
      <c r="H20" s="399" t="str">
        <f>VLOOKUP(C20,'Sales Master'!$B$3:$F$2413,5,0)</f>
        <v>5 KG</v>
      </c>
      <c r="I20" s="563" t="str">
        <f>VLOOKUP(C20,'Sales Master'!$B$3:$E$2413,4,0)</f>
        <v>-</v>
      </c>
      <c r="J20" s="563"/>
      <c r="K20" s="83">
        <f>VLOOKUP(C20,'Sales Master'!B$3:CQ$675,94,0)</f>
        <v>17.5</v>
      </c>
      <c r="L20" s="84">
        <f t="shared" ref="L20" si="1">K20*G20</f>
        <v>35</v>
      </c>
      <c r="M20" s="65"/>
    </row>
    <row r="21" spans="2:22" ht="20.149999999999999" customHeight="1" x14ac:dyDescent="0.45">
      <c r="B21" s="259" t="s">
        <v>2115</v>
      </c>
      <c r="C21" s="212" t="str">
        <f>VLOOKUP(B21,'Sales Master'!A$3:B$530,2,0)</f>
        <v>P3009A</v>
      </c>
      <c r="D21" s="461" t="str">
        <f>VLOOKUP(C21,'Sales Master'!B$3:D$530,2,)</f>
        <v>Green Bean 绿豆</v>
      </c>
      <c r="E21" s="461"/>
      <c r="F21" s="461"/>
      <c r="G21" s="76">
        <v>1</v>
      </c>
      <c r="H21" s="399" t="str">
        <f>VLOOKUP(C21,'Sales Master'!$B$3:$F$2413,5,0)</f>
        <v>5 KG</v>
      </c>
      <c r="I21" s="563" t="str">
        <f>VLOOKUP(C21,'Sales Master'!$B$3:$E$2413,4,0)</f>
        <v>-</v>
      </c>
      <c r="J21" s="563"/>
      <c r="K21" s="83">
        <f>VLOOKUP(C21,'Sales Master'!B$3:CQ$675,94,0)</f>
        <v>13</v>
      </c>
      <c r="L21" s="84">
        <f t="shared" ref="L21" si="2">K21*G21</f>
        <v>13</v>
      </c>
      <c r="M21" s="65"/>
    </row>
    <row r="22" spans="2:22" ht="20.149999999999999" customHeight="1" x14ac:dyDescent="0.45">
      <c r="B22" s="259" t="s">
        <v>2102</v>
      </c>
      <c r="C22" s="212" t="str">
        <f>VLOOKUP(B22,'Sales Master'!A$3:B$530,2,0)</f>
        <v>P4053</v>
      </c>
      <c r="D22" s="461" t="str">
        <f>VLOOKUP(C22,'Sales Master'!B$3:D$530,2,)</f>
        <v>Coconut Milk 天然鲜椰浆</v>
      </c>
      <c r="E22" s="461"/>
      <c r="F22" s="461"/>
      <c r="G22" s="76">
        <v>15</v>
      </c>
      <c r="H22" s="399" t="str">
        <f>VLOOKUP(C22,'Sales Master'!$B$3:$F$2413,5,0)</f>
        <v>500GM/ Pkt包</v>
      </c>
      <c r="I22" s="563" t="str">
        <f>VLOOKUP(C22,'Sales Master'!$B$3:$E$2413,4,0)</f>
        <v>Heng Guan</v>
      </c>
      <c r="J22" s="563"/>
      <c r="K22" s="83">
        <f>VLOOKUP(C22,'Sales Master'!B$3:CQ$675,94,0)</f>
        <v>2.1</v>
      </c>
      <c r="L22" s="84">
        <f>K22*G22</f>
        <v>31.5</v>
      </c>
      <c r="M22" s="65"/>
    </row>
    <row r="23" spans="2:22" ht="20.149999999999999" customHeight="1" x14ac:dyDescent="0.45">
      <c r="B23" s="259" t="s">
        <v>2104</v>
      </c>
      <c r="C23" s="212" t="str">
        <f>VLOOKUP(B23,'Sales Master'!A$3:B$530,2,0)</f>
        <v>P6002A</v>
      </c>
      <c r="D23" s="498" t="str">
        <f>VLOOKUP(C23,'Sales Master'!B$3:D$530,2,)</f>
        <v>Skinless Sweet Potato 去皮番薯</v>
      </c>
      <c r="E23" s="498"/>
      <c r="F23" s="498"/>
      <c r="G23" s="76">
        <v>2</v>
      </c>
      <c r="H23" s="399" t="str">
        <f>VLOOKUP(C23,'Sales Master'!$B$3:$F$2413,5,0)</f>
        <v>5 KG</v>
      </c>
      <c r="I23" s="563" t="str">
        <f>VLOOKUP(C23,'Sales Master'!$B$3:$E$2413,4,0)</f>
        <v>Malaysia</v>
      </c>
      <c r="J23" s="563"/>
      <c r="K23" s="83">
        <f>VLOOKUP(C23,'Sales Master'!B$3:CQ$675,94,0)</f>
        <v>16.5</v>
      </c>
      <c r="L23" s="84">
        <f t="shared" ref="L23" si="3">K23*G23</f>
        <v>33</v>
      </c>
      <c r="M23" s="65"/>
    </row>
    <row r="24" spans="2:22" ht="20.149999999999999" customHeight="1" x14ac:dyDescent="0.45">
      <c r="B24" s="259" t="s">
        <v>2109</v>
      </c>
      <c r="C24" s="212" t="str">
        <f>VLOOKUP(B24,'Sales Master'!A$3:B$530,2,0)</f>
        <v>P6007</v>
      </c>
      <c r="D24" s="461" t="str">
        <f>VLOOKUP(C24,'Sales Master'!B$3:D$530,2,)</f>
        <v>Pandan Leaf 班兰叶</v>
      </c>
      <c r="E24" s="461"/>
      <c r="F24" s="461"/>
      <c r="G24" s="76">
        <v>1</v>
      </c>
      <c r="H24" s="399" t="str">
        <f>VLOOKUP(C24,'Sales Master'!$B$3:$F$2413,5,0)</f>
        <v>1 KG</v>
      </c>
      <c r="I24" s="563" t="str">
        <f>VLOOKUP(C24,'Sales Master'!$B$3:$E$2413,4,0)</f>
        <v>-</v>
      </c>
      <c r="J24" s="563"/>
      <c r="K24" s="83">
        <f>VLOOKUP(C24,'Sales Master'!B$3:CQ$675,94,0)</f>
        <v>2</v>
      </c>
      <c r="L24" s="84">
        <f>K24*G24</f>
        <v>2</v>
      </c>
      <c r="M24" s="65"/>
    </row>
    <row r="25" spans="2:22" ht="20.149999999999999" customHeight="1" x14ac:dyDescent="0.45">
      <c r="B25" s="259" t="s">
        <v>2113</v>
      </c>
      <c r="C25" s="212" t="str">
        <f>VLOOKUP(B25,'Sales Master'!A$3:B$530,2,0)</f>
        <v>P6011</v>
      </c>
      <c r="D25" s="461" t="str">
        <f>VLOOKUP(C25,'Sales Master'!B$3:D$530,2,)</f>
        <v>Ginger 老姜</v>
      </c>
      <c r="E25" s="461"/>
      <c r="F25" s="461"/>
      <c r="G25" s="76">
        <v>2</v>
      </c>
      <c r="H25" s="399" t="str">
        <f>VLOOKUP(C25,'Sales Master'!$B$3:$F$2413,5,0)</f>
        <v>1 KG</v>
      </c>
      <c r="I25" s="563" t="str">
        <f>VLOOKUP(C25,'Sales Master'!$B$3:$E$2413,4,0)</f>
        <v>-</v>
      </c>
      <c r="J25" s="563"/>
      <c r="K25" s="83">
        <f>VLOOKUP(C25,'Sales Master'!B$3:CQ$675,94,0)</f>
        <v>5</v>
      </c>
      <c r="L25" s="84">
        <f t="shared" ref="L25" si="4">K25*G25</f>
        <v>10</v>
      </c>
      <c r="M25" s="65"/>
    </row>
    <row r="26" spans="2:22" ht="20.149999999999999" customHeight="1" x14ac:dyDescent="0.45">
      <c r="B26" s="259" t="s">
        <v>2119</v>
      </c>
      <c r="C26" s="212" t="str">
        <f>VLOOKUP(B26,'Sales Master'!A$3:B$530,2,0)</f>
        <v>P6016</v>
      </c>
      <c r="D26" s="461" t="str">
        <f>VLOOKUP(C26,'Sales Master'!B$3:D$530,2,)</f>
        <v>Yellow Lemon 柠檬</v>
      </c>
      <c r="E26" s="461"/>
      <c r="F26" s="461"/>
      <c r="G26" s="76">
        <v>6</v>
      </c>
      <c r="H26" s="399" t="str">
        <f>VLOOKUP(C26,'Sales Master'!$B$3:$F$2413,5,0)</f>
        <v>1 KG</v>
      </c>
      <c r="I26" s="563" t="str">
        <f>VLOOKUP(C26,'Sales Master'!$B$3:$E$2413,4,0)</f>
        <v>-</v>
      </c>
      <c r="J26" s="563"/>
      <c r="K26" s="83">
        <f>VLOOKUP(C26,'Sales Master'!B$3:CQ$675,94,0)</f>
        <v>3.8</v>
      </c>
      <c r="L26" s="84">
        <f>K26*G26</f>
        <v>22.799999999999997</v>
      </c>
      <c r="M26" s="6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399"/>
      <c r="I27" s="563"/>
      <c r="J27" s="563"/>
      <c r="K27" s="83"/>
      <c r="L27" s="84"/>
      <c r="M27" s="65"/>
    </row>
    <row r="28" spans="2:22" ht="20.149999999999999" customHeight="1" x14ac:dyDescent="0.45">
      <c r="B28" s="259"/>
      <c r="C28" s="212"/>
      <c r="D28" s="498"/>
      <c r="E28" s="498"/>
      <c r="F28" s="498"/>
      <c r="G28" s="76"/>
      <c r="H28" s="399"/>
      <c r="I28" s="563"/>
      <c r="J28" s="563"/>
      <c r="K28" s="83"/>
      <c r="L28" s="84"/>
      <c r="M28" s="6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399"/>
      <c r="I29" s="563"/>
      <c r="J29" s="563"/>
      <c r="K29" s="83"/>
      <c r="L29" s="84"/>
      <c r="M29" s="65"/>
    </row>
    <row r="30" spans="2:22" ht="20.149999999999999" customHeight="1" x14ac:dyDescent="0.45">
      <c r="B30" s="259"/>
      <c r="C30" s="212"/>
      <c r="D30" s="461"/>
      <c r="E30" s="461"/>
      <c r="F30" s="461"/>
      <c r="G30" s="76"/>
      <c r="H30" s="399"/>
      <c r="I30" s="563"/>
      <c r="J30" s="563"/>
      <c r="K30" s="83"/>
      <c r="L30" s="84"/>
      <c r="M30" s="65"/>
    </row>
    <row r="31" spans="2:22" ht="20.149999999999999" customHeight="1" x14ac:dyDescent="0.45">
      <c r="B31" s="259"/>
      <c r="C31" s="212"/>
      <c r="D31" s="461"/>
      <c r="E31" s="461"/>
      <c r="F31" s="461"/>
      <c r="G31" s="76"/>
      <c r="H31" s="399"/>
      <c r="I31" s="563"/>
      <c r="J31" s="563"/>
      <c r="K31" s="83"/>
      <c r="L31" s="84"/>
      <c r="M31" s="65"/>
    </row>
    <row r="32" spans="2:22" ht="20.149999999999999" customHeight="1" x14ac:dyDescent="0.45">
      <c r="B32" s="259"/>
      <c r="C32" s="212"/>
      <c r="D32" s="461"/>
      <c r="E32" s="461"/>
      <c r="F32" s="461"/>
      <c r="G32" s="76"/>
      <c r="H32" s="399"/>
      <c r="I32" s="563"/>
      <c r="J32" s="563"/>
      <c r="K32" s="83"/>
      <c r="L32" s="84"/>
      <c r="M32" s="65"/>
    </row>
    <row r="33" spans="2:13" ht="20.149999999999999" customHeight="1" x14ac:dyDescent="0.45">
      <c r="B33" s="259"/>
      <c r="C33" s="212"/>
      <c r="G33" s="76"/>
      <c r="H33" s="399"/>
      <c r="I33" s="183"/>
      <c r="J33" s="183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9"/>
      <c r="I34" s="183"/>
      <c r="J34" s="183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SUM(L18:L35)</f>
        <v>252.3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252.3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22.707000000000001</v>
      </c>
    </row>
    <row r="40" spans="2:13" ht="20.149999999999999" customHeight="1" thickBot="1" x14ac:dyDescent="0.5">
      <c r="B40" s="10" t="s">
        <v>700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275.00700000000001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690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D18:F18"/>
    <mergeCell ref="I18:J18"/>
    <mergeCell ref="D30:F30"/>
    <mergeCell ref="D29:F29"/>
    <mergeCell ref="D28:F28"/>
    <mergeCell ref="I28:J28"/>
    <mergeCell ref="D23:F23"/>
    <mergeCell ref="I29:J29"/>
    <mergeCell ref="D19:F19"/>
    <mergeCell ref="I30:J30"/>
    <mergeCell ref="I19:J19"/>
    <mergeCell ref="D22:F22"/>
    <mergeCell ref="D21:F21"/>
    <mergeCell ref="I21:J21"/>
    <mergeCell ref="D25:F25"/>
    <mergeCell ref="I25:J25"/>
    <mergeCell ref="D27:F27"/>
    <mergeCell ref="D26:F26"/>
    <mergeCell ref="D24:F24"/>
    <mergeCell ref="I27:J27"/>
    <mergeCell ref="I26:J26"/>
    <mergeCell ref="I23:J23"/>
    <mergeCell ref="I20:J20"/>
    <mergeCell ref="D20:F20"/>
    <mergeCell ref="I22:J22"/>
    <mergeCell ref="I24:J24"/>
    <mergeCell ref="J40:K40"/>
    <mergeCell ref="J36:K36"/>
    <mergeCell ref="J38:K38"/>
    <mergeCell ref="D31:F31"/>
    <mergeCell ref="I31:J31"/>
    <mergeCell ref="D32:F32"/>
    <mergeCell ref="I32:J3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1ED5-F1AC-4E5F-978D-24695A948DEC}">
  <sheetPr>
    <tabColor rgb="FF7030A0"/>
    <pageSetUpPr fitToPage="1"/>
  </sheetPr>
  <dimension ref="B1:M49"/>
  <sheetViews>
    <sheetView topLeftCell="A34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2074</v>
      </c>
      <c r="J10" s="24" t="s">
        <v>27</v>
      </c>
      <c r="K10" s="493">
        <v>202501159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95">
        <v>45664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44" t="s">
        <v>34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737</v>
      </c>
      <c r="D18" s="500" t="str">
        <f>VLOOKUP(C18,'Sales Master'!B$3:D$530,2,)</f>
        <v>Chendol 浆咯</v>
      </c>
      <c r="E18" s="500"/>
      <c r="F18" s="500"/>
      <c r="G18" s="17">
        <v>1</v>
      </c>
      <c r="H18" s="263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30">
        <f>VLOOKUP(C18,'Sales Master'!$B$3:$CM$530,90,0)</f>
        <v>6.5</v>
      </c>
      <c r="L18" s="64">
        <f t="shared" ref="L18" si="0">K18*G18</f>
        <v>6.5</v>
      </c>
    </row>
    <row r="19" spans="2:13" ht="20.149999999999999" customHeight="1" x14ac:dyDescent="0.45">
      <c r="B19" s="29"/>
      <c r="C19" s="212" t="s">
        <v>799</v>
      </c>
      <c r="D19" s="593" t="str">
        <f>VLOOKUP(C19,'Sales Master'!B$3:D$530,2,)</f>
        <v>Sweet Potato Powder 番薯粉</v>
      </c>
      <c r="E19" s="593"/>
      <c r="F19" s="593"/>
      <c r="G19" s="17">
        <v>1</v>
      </c>
      <c r="H19" s="263" t="str">
        <f>VLOOKUP(C19,'Sales Master'!$B$3:$F$2413,5,0)</f>
        <v>3 kgs</v>
      </c>
      <c r="I19" s="497" t="str">
        <f>VLOOKUP(C19,'Sales Master'!$B$3:$E$2413,4,0)</f>
        <v>RE-PACK</v>
      </c>
      <c r="J19" s="497"/>
      <c r="K19" s="30">
        <f>VLOOKUP(C19,'Sales Master'!$B$3:$CM$530,90,0)</f>
        <v>10.5</v>
      </c>
      <c r="L19" s="64">
        <f>K19*G19</f>
        <v>10.5</v>
      </c>
    </row>
    <row r="20" spans="2:13" ht="20.149999999999999" customHeight="1" x14ac:dyDescent="0.45">
      <c r="B20" s="29"/>
      <c r="C20" s="212" t="s">
        <v>815</v>
      </c>
      <c r="D20" s="501" t="str">
        <f>VLOOKUP(C20,'Sales Master'!B$3:D$530,2,)</f>
        <v>Potato Starch 风车粉</v>
      </c>
      <c r="E20" s="501"/>
      <c r="F20" s="501"/>
      <c r="G20" s="17">
        <v>1</v>
      </c>
      <c r="H20" s="263" t="str">
        <f>VLOOKUP(C20,'Sales Master'!$B$3:$F$2413,5,0)</f>
        <v>5 KG</v>
      </c>
      <c r="I20" s="497" t="str">
        <f>VLOOKUP(C20,'Sales Master'!$B$3:$E$2413,4,0)</f>
        <v>RE-PACK</v>
      </c>
      <c r="J20" s="497"/>
      <c r="K20" s="30">
        <f>VLOOKUP(C20,'Sales Master'!$B$3:$CM$530,90,0)</f>
        <v>13</v>
      </c>
      <c r="L20" s="64">
        <f>K20*G20</f>
        <v>13</v>
      </c>
    </row>
    <row r="21" spans="2:13" ht="20.149999999999999" customHeight="1" x14ac:dyDescent="0.45">
      <c r="B21" s="29"/>
      <c r="C21" s="212" t="s">
        <v>831</v>
      </c>
      <c r="D21" s="501" t="str">
        <f>VLOOKUP(C21,'Sales Master'!B$3:D$530,2,)</f>
        <v>Chin Chow  仙草</v>
      </c>
      <c r="E21" s="501"/>
      <c r="F21" s="501"/>
      <c r="G21" s="17">
        <v>2</v>
      </c>
      <c r="H21" s="263" t="str">
        <f>VLOOKUP(C21,'Sales Master'!$B$3:$F$2413,5,0)</f>
        <v>4 KG/ Pkt包</v>
      </c>
      <c r="I21" s="497" t="str">
        <f>VLOOKUP(C21,'Sales Master'!$B$3:$E$2413,4,0)</f>
        <v>TSM</v>
      </c>
      <c r="J21" s="497"/>
      <c r="K21" s="30">
        <f>VLOOKUP(C21,'Sales Master'!$B$3:$CM$530,90,0)</f>
        <v>6</v>
      </c>
      <c r="L21" s="64">
        <f>K21*G21</f>
        <v>12</v>
      </c>
    </row>
    <row r="22" spans="2:13" ht="20.149999999999999" customHeight="1" x14ac:dyDescent="0.45">
      <c r="B22" s="29"/>
      <c r="C22" s="212" t="s">
        <v>841</v>
      </c>
      <c r="D22" s="501" t="str">
        <f>VLOOKUP(C22,'Sales Master'!B$3:D$530,2,)</f>
        <v>Small Red Bean 小红豆</v>
      </c>
      <c r="E22" s="501"/>
      <c r="F22" s="501"/>
      <c r="G22" s="17">
        <v>2</v>
      </c>
      <c r="H22" s="263" t="str">
        <f>VLOOKUP(C22,'Sales Master'!$B$3:$F$2413,5,0)</f>
        <v>5 KG</v>
      </c>
      <c r="I22" s="497" t="str">
        <f>VLOOKUP(C22,'Sales Master'!$B$3:$E$2413,4,0)</f>
        <v>-</v>
      </c>
      <c r="J22" s="497"/>
      <c r="K22" s="30">
        <f>VLOOKUP(C22,'Sales Master'!$B$3:$CM$530,90,0)</f>
        <v>17.5</v>
      </c>
      <c r="L22" s="64">
        <f t="shared" ref="L22:L25" si="1">K22*G22</f>
        <v>35</v>
      </c>
    </row>
    <row r="23" spans="2:13" ht="20.149999999999999" customHeight="1" x14ac:dyDescent="0.45">
      <c r="B23" s="29"/>
      <c r="C23" s="212" t="s">
        <v>849</v>
      </c>
      <c r="D23" s="501" t="str">
        <f>VLOOKUP(C23,'Sales Master'!B$3:D$530,2,)</f>
        <v>Green Bean 绿豆</v>
      </c>
      <c r="E23" s="501"/>
      <c r="F23" s="501"/>
      <c r="G23" s="17">
        <v>2</v>
      </c>
      <c r="H23" s="263" t="str">
        <f>VLOOKUP(C23,'Sales Master'!$B$3:$F$2413,5,0)</f>
        <v>5 KG</v>
      </c>
      <c r="I23" s="497" t="str">
        <f>VLOOKUP(C23,'Sales Master'!$B$3:$E$2413,4,0)</f>
        <v>-</v>
      </c>
      <c r="J23" s="497"/>
      <c r="K23" s="30">
        <f>VLOOKUP(C23,'Sales Master'!$B$3:$CM$530,90,0)</f>
        <v>13</v>
      </c>
      <c r="L23" s="64">
        <f t="shared" si="1"/>
        <v>26</v>
      </c>
    </row>
    <row r="24" spans="2:13" ht="20.149999999999999" customHeight="1" x14ac:dyDescent="0.45">
      <c r="B24" s="29"/>
      <c r="C24" s="212" t="s">
        <v>877</v>
      </c>
      <c r="D24" s="501" t="str">
        <f>VLOOKUP(C24,'Sales Master'!B$3:D$530,2,)</f>
        <v>Small Sago 小丸</v>
      </c>
      <c r="E24" s="501"/>
      <c r="F24" s="501"/>
      <c r="G24" s="17">
        <v>1</v>
      </c>
      <c r="H24" s="263" t="str">
        <f>VLOOKUP(C24,'Sales Master'!$B$3:$F$2413,5,0)</f>
        <v>5 KG</v>
      </c>
      <c r="I24" s="497" t="str">
        <f>VLOOKUP(C24,'Sales Master'!$B$3:$E$2413,4,0)</f>
        <v>-</v>
      </c>
      <c r="J24" s="497"/>
      <c r="K24" s="30">
        <f>VLOOKUP(C24,'Sales Master'!$B$3:$CM$530,90,0)</f>
        <v>10</v>
      </c>
      <c r="L24" s="64">
        <f>K24*G24</f>
        <v>10</v>
      </c>
    </row>
    <row r="25" spans="2:13" ht="20.149999999999999" customHeight="1" x14ac:dyDescent="0.45">
      <c r="B25" s="29"/>
      <c r="C25" s="212" t="s">
        <v>1885</v>
      </c>
      <c r="D25" s="501" t="str">
        <f>VLOOKUP(C25,'Sales Master'!B$3:D$530,2,)</f>
        <v>Tapioca木薯</v>
      </c>
      <c r="E25" s="501"/>
      <c r="F25" s="501"/>
      <c r="G25" s="17">
        <v>1</v>
      </c>
      <c r="H25" s="263" t="str">
        <f>VLOOKUP(C25,'Sales Master'!$B$3:$F$2413,5,0)</f>
        <v>5 KGS</v>
      </c>
      <c r="I25" s="497" t="str">
        <f>VLOOKUP(C25,'Sales Master'!$B$3:$E$2413,4,0)</f>
        <v>-</v>
      </c>
      <c r="J25" s="497"/>
      <c r="K25" s="30">
        <f>VLOOKUP(C25,'Sales Master'!$B$3:$CM$530,90,0)</f>
        <v>9</v>
      </c>
      <c r="L25" s="64">
        <f t="shared" si="1"/>
        <v>9</v>
      </c>
    </row>
    <row r="26" spans="2:13" ht="20.149999999999999" customHeight="1" x14ac:dyDescent="0.45">
      <c r="B26" s="29"/>
      <c r="C26" s="212" t="s">
        <v>1028</v>
      </c>
      <c r="D26" s="501" t="str">
        <f>VLOOKUP(C26,'Sales Master'!B$3:D$530,2,)</f>
        <v>Sweet Potato 番薯</v>
      </c>
      <c r="E26" s="501"/>
      <c r="F26" s="501"/>
      <c r="G26" s="17">
        <v>30</v>
      </c>
      <c r="H26" s="263" t="str">
        <f>VLOOKUP(C26,'Sales Master'!$B$3:$F$2413,5,0)</f>
        <v>1 KG</v>
      </c>
      <c r="I26" s="497" t="str">
        <f>VLOOKUP(C26,'Sales Master'!$B$3:$E$2413,4,0)</f>
        <v>-</v>
      </c>
      <c r="J26" s="497"/>
      <c r="K26" s="30">
        <f>VLOOKUP(C26,'Sales Master'!$B$3:$CM$530,90,0)</f>
        <v>2.5</v>
      </c>
      <c r="L26" s="64">
        <f t="shared" ref="L26" si="2">K26*G26</f>
        <v>75</v>
      </c>
    </row>
    <row r="27" spans="2:13" ht="20.149999999999999" customHeight="1" x14ac:dyDescent="0.45">
      <c r="B27" s="29"/>
      <c r="C27" s="212"/>
      <c r="D27" s="501"/>
      <c r="E27" s="501"/>
      <c r="F27" s="501"/>
      <c r="G27" s="17"/>
      <c r="H27" s="263"/>
      <c r="I27" s="497"/>
      <c r="J27" s="497"/>
      <c r="K27" s="30"/>
      <c r="L27" s="64"/>
    </row>
    <row r="28" spans="2:13" ht="20.149999999999999" customHeight="1" x14ac:dyDescent="0.45">
      <c r="B28" s="29"/>
      <c r="C28" s="212"/>
      <c r="D28" s="501"/>
      <c r="E28" s="501"/>
      <c r="F28" s="501"/>
      <c r="G28" s="17"/>
      <c r="H28" s="263"/>
      <c r="I28" s="497"/>
      <c r="J28" s="497"/>
      <c r="K28" s="30"/>
      <c r="L28" s="64"/>
    </row>
    <row r="29" spans="2:13" ht="20.149999999999999" customHeight="1" x14ac:dyDescent="0.45">
      <c r="B29" s="29"/>
      <c r="C29" s="212"/>
      <c r="D29" s="501"/>
      <c r="E29" s="501"/>
      <c r="F29" s="501"/>
      <c r="G29" s="17"/>
      <c r="H29" s="263"/>
      <c r="I29" s="497"/>
      <c r="J29" s="497"/>
      <c r="K29" s="30"/>
      <c r="L29" s="64"/>
    </row>
    <row r="30" spans="2:13" ht="20.149999999999999" customHeight="1" x14ac:dyDescent="0.45">
      <c r="B30" s="29"/>
      <c r="C30" s="212"/>
      <c r="D30" s="501"/>
      <c r="E30" s="501"/>
      <c r="F30" s="501"/>
      <c r="G30" s="17"/>
      <c r="H30" s="263"/>
      <c r="I30" s="497"/>
      <c r="J30" s="497"/>
      <c r="K30" s="30"/>
      <c r="L30" s="64"/>
    </row>
    <row r="31" spans="2:13" ht="20.149999999999999" customHeight="1" x14ac:dyDescent="0.45">
      <c r="B31" s="29"/>
      <c r="C31" s="212"/>
      <c r="D31" s="147"/>
      <c r="E31" s="147"/>
      <c r="F31" s="147"/>
      <c r="G31" s="17"/>
      <c r="H31" s="263"/>
      <c r="I31" s="208"/>
      <c r="J31" s="208"/>
      <c r="K31" s="30"/>
      <c r="L31" s="64"/>
    </row>
    <row r="32" spans="2:13" ht="20.149999999999999" customHeight="1" x14ac:dyDescent="0.45">
      <c r="B32" s="29"/>
      <c r="C32" s="212"/>
      <c r="D32" s="147"/>
      <c r="E32" s="147"/>
      <c r="F32" s="147"/>
      <c r="G32" s="17"/>
      <c r="H32" s="263"/>
      <c r="I32" s="208"/>
      <c r="J32" s="208"/>
      <c r="K32" s="30"/>
      <c r="L32" s="64"/>
    </row>
    <row r="33" spans="2:13" ht="20.149999999999999" customHeight="1" x14ac:dyDescent="0.45">
      <c r="B33" s="29"/>
      <c r="C33" s="212"/>
      <c r="D33" s="147"/>
      <c r="E33" s="147"/>
      <c r="F33" s="147"/>
      <c r="G33" s="17"/>
      <c r="H33" s="186"/>
      <c r="I33" s="208"/>
      <c r="J33" s="208"/>
      <c r="K33" s="30"/>
      <c r="L33" s="64"/>
    </row>
    <row r="34" spans="2:13" ht="20.149999999999999" customHeight="1" x14ac:dyDescent="0.45">
      <c r="B34" s="29"/>
      <c r="C34" s="212"/>
      <c r="D34" s="501"/>
      <c r="E34" s="501"/>
      <c r="F34" s="501"/>
      <c r="G34" s="17"/>
      <c r="H34" s="186"/>
      <c r="I34" s="497"/>
      <c r="J34" s="497"/>
      <c r="K34" s="30"/>
      <c r="L34" s="64"/>
    </row>
    <row r="35" spans="2:13" ht="20.149999999999999" customHeight="1" thickBot="1" x14ac:dyDescent="0.5">
      <c r="B35" s="32"/>
      <c r="C35" s="33"/>
      <c r="D35" s="490"/>
      <c r="E35" s="490"/>
      <c r="F35" s="490"/>
      <c r="G35" s="33"/>
      <c r="H35" s="33"/>
      <c r="I35" s="33"/>
      <c r="J35" s="33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55" t="s">
        <v>13</v>
      </c>
      <c r="K37" s="456"/>
      <c r="L37" s="38">
        <f>SUM(L17:L35)</f>
        <v>197</v>
      </c>
      <c r="M37" s="63">
        <f>SUM(P7:P36)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197</v>
      </c>
      <c r="M39" s="63"/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17.73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214.73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6">
    <mergeCell ref="D27:F27"/>
    <mergeCell ref="I23:J23"/>
    <mergeCell ref="D20:F20"/>
    <mergeCell ref="I20:J20"/>
    <mergeCell ref="D23:F23"/>
    <mergeCell ref="I27:J27"/>
    <mergeCell ref="D21:F21"/>
    <mergeCell ref="I21:J21"/>
    <mergeCell ref="D26:F26"/>
    <mergeCell ref="I24:J24"/>
    <mergeCell ref="I26:J26"/>
    <mergeCell ref="I17:J17"/>
    <mergeCell ref="D18:F18"/>
    <mergeCell ref="I18:J18"/>
    <mergeCell ref="D17:F17"/>
    <mergeCell ref="I25:J25"/>
    <mergeCell ref="D25:F25"/>
    <mergeCell ref="D19:F19"/>
    <mergeCell ref="I19:J19"/>
    <mergeCell ref="D22:F22"/>
    <mergeCell ref="I22:J22"/>
    <mergeCell ref="D24:F24"/>
    <mergeCell ref="J41:K41"/>
    <mergeCell ref="D28:F28"/>
    <mergeCell ref="I28:J28"/>
    <mergeCell ref="D34:F34"/>
    <mergeCell ref="I34:J34"/>
    <mergeCell ref="D35:F35"/>
    <mergeCell ref="J37:K37"/>
    <mergeCell ref="J39:K39"/>
    <mergeCell ref="D30:F30"/>
    <mergeCell ref="I30:J30"/>
    <mergeCell ref="D29:F29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BAF7-F85B-4736-93B5-5FC533589727}">
  <sheetPr>
    <tabColor rgb="FF7030A0"/>
    <pageSetUpPr fitToPage="1"/>
  </sheetPr>
  <dimension ref="B1:P45"/>
  <sheetViews>
    <sheetView topLeftCell="A4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2086</v>
      </c>
      <c r="J10" s="24" t="s">
        <v>27</v>
      </c>
      <c r="K10" s="493">
        <v>202501220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Drinks                                                              70 Jellicoe Road #01-03                         V Hotel Lavender,                    Singapore 208767</v>
      </c>
      <c r="G11" s="481"/>
      <c r="H11" s="482"/>
      <c r="J11" s="26" t="s">
        <v>9</v>
      </c>
      <c r="K11" s="495">
        <v>45667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841</v>
      </c>
      <c r="D18" s="500" t="str">
        <f>VLOOKUP(C18,'Sales Master'!B$3:D$530,2,)</f>
        <v>Small Red Bean 小红豆</v>
      </c>
      <c r="E18" s="500"/>
      <c r="F18" s="500"/>
      <c r="G18" s="17">
        <v>2</v>
      </c>
      <c r="H18" s="186" t="str">
        <f>VLOOKUP(C18,'Sales Master'!$B$3:$F$2413,5,0)</f>
        <v>5 KG</v>
      </c>
      <c r="I18" s="497" t="str">
        <f>VLOOKUP(C18,'Sales Master'!$B$3:$E$2413,4,0)</f>
        <v>-</v>
      </c>
      <c r="J18" s="497"/>
      <c r="K18" s="30">
        <f>VLOOKUP(C18,'Sales Master'!$B$3:$T3003,19,0)</f>
        <v>17.5</v>
      </c>
      <c r="L18" s="64">
        <f>K18*G18</f>
        <v>35</v>
      </c>
    </row>
    <row r="19" spans="2:16" ht="20.149999999999999" customHeight="1" x14ac:dyDescent="0.45">
      <c r="B19" s="29"/>
      <c r="C19" s="212" t="s">
        <v>849</v>
      </c>
      <c r="D19" s="501" t="str">
        <f>VLOOKUP(C19,'Sales Master'!B$3:D$530,2,)</f>
        <v>Green Bean 绿豆</v>
      </c>
      <c r="E19" s="501"/>
      <c r="F19" s="501"/>
      <c r="G19" s="17">
        <v>2</v>
      </c>
      <c r="H19" s="186" t="str">
        <f>VLOOKUP(C19,'Sales Master'!$B$3:$F$2413,5,0)</f>
        <v>5 KG</v>
      </c>
      <c r="I19" s="497" t="str">
        <f>VLOOKUP(C19,'Sales Master'!$B$3:$E$2413,4,0)</f>
        <v>-</v>
      </c>
      <c r="J19" s="497"/>
      <c r="K19" s="30">
        <f>VLOOKUP(C19,'Sales Master'!$B$3:$T3004,19,0)</f>
        <v>13</v>
      </c>
      <c r="L19" s="64">
        <f t="shared" ref="L19:L25" si="0">K19*G19</f>
        <v>26</v>
      </c>
    </row>
    <row r="20" spans="2:16" ht="20.149999999999999" customHeight="1" x14ac:dyDescent="0.45">
      <c r="B20" s="29"/>
      <c r="C20" s="212" t="s">
        <v>877</v>
      </c>
      <c r="D20" s="501" t="str">
        <f>VLOOKUP(C20,'Sales Master'!B$3:D$530,2,)</f>
        <v>Small Sago 小丸</v>
      </c>
      <c r="E20" s="501"/>
      <c r="F20" s="501"/>
      <c r="G20" s="17">
        <v>1</v>
      </c>
      <c r="H20" s="186" t="str">
        <f>VLOOKUP(C20,'Sales Master'!$B$3:$F$2413,5,0)</f>
        <v>5 KG</v>
      </c>
      <c r="I20" s="497" t="str">
        <f>VLOOKUP(C20,'Sales Master'!$B$3:$E$2413,4,0)</f>
        <v>-</v>
      </c>
      <c r="J20" s="497"/>
      <c r="K20" s="30">
        <f>VLOOKUP(C20,'Sales Master'!$B$3:$T3006,19,0)</f>
        <v>10</v>
      </c>
      <c r="L20" s="64">
        <f>K20*G20</f>
        <v>10</v>
      </c>
    </row>
    <row r="21" spans="2:16" ht="20.149999999999999" customHeight="1" x14ac:dyDescent="0.45">
      <c r="B21" s="29"/>
      <c r="C21" s="212" t="s">
        <v>886</v>
      </c>
      <c r="D21" s="501" t="str">
        <f>VLOOKUP(C21,'Sales Master'!B$3:D$530,2,)</f>
        <v>Fungus黄 木耳朵</v>
      </c>
      <c r="E21" s="501"/>
      <c r="F21" s="501"/>
      <c r="G21" s="17">
        <v>2</v>
      </c>
      <c r="H21" s="186" t="str">
        <f>VLOOKUP(C21,'Sales Master'!$B$3:$F$2413,5,0)</f>
        <v>1 kg</v>
      </c>
      <c r="I21" s="497" t="str">
        <f>VLOOKUP(C21,'Sales Master'!$B$3:$E$2413,4,0)</f>
        <v>黄</v>
      </c>
      <c r="J21" s="497"/>
      <c r="K21" s="30">
        <f>VLOOKUP(C21,'Sales Master'!$B$3:$T3010,19,0)</f>
        <v>16</v>
      </c>
      <c r="L21" s="64">
        <f>K21*G21</f>
        <v>32</v>
      </c>
    </row>
    <row r="22" spans="2:16" ht="20.149999999999999" customHeight="1" x14ac:dyDescent="0.45">
      <c r="B22" s="29"/>
      <c r="C22" s="212" t="s">
        <v>961</v>
      </c>
      <c r="D22" s="501" t="str">
        <f>VLOOKUP(C22,'Sales Master'!B$3:D$530,2,)</f>
        <v>Lychee in Syrup 荔枝</v>
      </c>
      <c r="E22" s="501"/>
      <c r="F22" s="501"/>
      <c r="G22" s="17">
        <v>1</v>
      </c>
      <c r="H22" s="186" t="str">
        <f>VLOOKUP(C22,'Sales Master'!$B$3:$F$2413,5,0)</f>
        <v>12 CAN/CARTON</v>
      </c>
      <c r="I22" s="497" t="str">
        <f>VLOOKUP(C22,'Sales Master'!$B$3:$E$2413,4,0)</f>
        <v>Statue</v>
      </c>
      <c r="J22" s="497"/>
      <c r="K22" s="30">
        <f>VLOOKUP(C22,'Sales Master'!$B$3:$T3009,19,0)</f>
        <v>22</v>
      </c>
      <c r="L22" s="64">
        <f t="shared" ref="L22" si="1">K22*G22</f>
        <v>22</v>
      </c>
    </row>
    <row r="23" spans="2:16" ht="20.149999999999999" customHeight="1" x14ac:dyDescent="0.45">
      <c r="B23" s="29"/>
      <c r="C23" s="212" t="s">
        <v>990</v>
      </c>
      <c r="D23" s="501" t="str">
        <f>VLOOKUP(C23,'Sales Master'!B$3:D$530,2,)</f>
        <v>Coconut Milk 椰浆</v>
      </c>
      <c r="E23" s="501"/>
      <c r="F23" s="501"/>
      <c r="G23" s="17">
        <v>2</v>
      </c>
      <c r="H23" s="186" t="str">
        <f>VLOOKUP(C23,'Sales Master'!$B$3:$F$2413,5,0)</f>
        <v>(1L x 12bag)/箱</v>
      </c>
      <c r="I23" s="497" t="str">
        <f>VLOOKUP(C23,'Sales Master'!$B$3:$E$2413,4,0)</f>
        <v>Kara UHT</v>
      </c>
      <c r="J23" s="497"/>
      <c r="K23" s="30">
        <f>VLOOKUP(C23,'Sales Master'!$B$3:$T3008,19,0)</f>
        <v>42</v>
      </c>
      <c r="L23" s="64">
        <f>K23*G23</f>
        <v>84</v>
      </c>
    </row>
    <row r="24" spans="2:16" ht="20.149999999999999" customHeight="1" x14ac:dyDescent="0.45">
      <c r="B24" s="29"/>
      <c r="C24" s="212" t="s">
        <v>1011</v>
      </c>
      <c r="D24" s="501" t="str">
        <f>VLOOKUP(C24,'Sales Master'!B$3:D$530,2,)</f>
        <v>Brown Sugar 黑糖</v>
      </c>
      <c r="E24" s="501"/>
      <c r="F24" s="501"/>
      <c r="G24" s="17">
        <v>1</v>
      </c>
      <c r="H24" s="186" t="str">
        <f>VLOOKUP(C24,'Sales Master'!$B$3:$F$2413,5,0)</f>
        <v>6 KG</v>
      </c>
      <c r="I24" s="497" t="str">
        <f>VLOOKUP(C24,'Sales Master'!$B$3:$E$2413,4,0)</f>
        <v>Star</v>
      </c>
      <c r="J24" s="497"/>
      <c r="K24" s="30">
        <f>VLOOKUP(C24,'Sales Master'!$B$3:$T3007,19,0)</f>
        <v>15</v>
      </c>
      <c r="L24" s="64">
        <f t="shared" ref="L24" si="2">K24*G24</f>
        <v>15</v>
      </c>
    </row>
    <row r="25" spans="2:16" ht="20.149999999999999" customHeight="1" x14ac:dyDescent="0.45">
      <c r="B25" s="29"/>
      <c r="C25" s="212" t="s">
        <v>1033</v>
      </c>
      <c r="D25" s="501" t="str">
        <f>VLOOKUP(C25,'Sales Master'!B$3:D$530,2,)</f>
        <v>Pandan Leaf 班兰叶</v>
      </c>
      <c r="E25" s="501"/>
      <c r="F25" s="501"/>
      <c r="G25" s="17">
        <v>1</v>
      </c>
      <c r="H25" s="186" t="str">
        <f>VLOOKUP(C25,'Sales Master'!$B$3:$F$2413,5,0)</f>
        <v>1 KG</v>
      </c>
      <c r="I25" s="497" t="str">
        <f>VLOOKUP(C25,'Sales Master'!$B$3:$E$2413,4,0)</f>
        <v>-</v>
      </c>
      <c r="J25" s="497"/>
      <c r="K25" s="30">
        <f>VLOOKUP(C25,'Sales Master'!$B$3:$T3005,19,0)</f>
        <v>1.8</v>
      </c>
      <c r="L25" s="64">
        <f t="shared" si="0"/>
        <v>1.8</v>
      </c>
    </row>
    <row r="26" spans="2:16" ht="20.149999999999999" customHeight="1" x14ac:dyDescent="0.45">
      <c r="B26" s="29"/>
      <c r="C26" s="212"/>
      <c r="D26" s="501"/>
      <c r="E26" s="501"/>
      <c r="F26" s="501"/>
      <c r="G26" s="17"/>
      <c r="H26" s="186"/>
      <c r="I26" s="497"/>
      <c r="J26" s="497"/>
      <c r="K26" s="30"/>
      <c r="L26" s="64"/>
    </row>
    <row r="27" spans="2:16" ht="20.149999999999999" customHeight="1" x14ac:dyDescent="0.45">
      <c r="B27" s="29"/>
      <c r="C27" s="212"/>
      <c r="D27" s="501"/>
      <c r="E27" s="501"/>
      <c r="F27" s="501"/>
      <c r="G27" s="17"/>
      <c r="H27" s="186"/>
      <c r="I27" s="497"/>
      <c r="J27" s="497"/>
      <c r="K27" s="30"/>
      <c r="L27" s="64"/>
    </row>
    <row r="28" spans="2:16" ht="20.149999999999999" customHeight="1" x14ac:dyDescent="0.45">
      <c r="B28" s="29"/>
      <c r="C28" s="212"/>
      <c r="D28" s="501"/>
      <c r="E28" s="501"/>
      <c r="F28" s="501"/>
      <c r="G28" s="17"/>
      <c r="H28" s="186"/>
      <c r="I28" s="497"/>
      <c r="J28" s="497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147"/>
      <c r="E29" s="147"/>
      <c r="F29" s="147"/>
      <c r="G29" s="17"/>
      <c r="H29" s="186"/>
      <c r="I29" s="208"/>
      <c r="J29" s="208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501"/>
      <c r="E30" s="501"/>
      <c r="F30" s="501"/>
      <c r="G30" s="17"/>
      <c r="H30" s="186"/>
      <c r="I30" s="497"/>
      <c r="J30" s="497"/>
      <c r="K30" s="30"/>
      <c r="L30" s="64"/>
      <c r="N30" s="145"/>
      <c r="O30" s="145"/>
      <c r="P30" s="145"/>
    </row>
    <row r="31" spans="2:16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SUM(L17:L31)</f>
        <v>225.8</v>
      </c>
      <c r="M33" s="63">
        <f>SUM(P7:P32)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225.8</v>
      </c>
      <c r="M35" s="63"/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20.321999999999999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246.12200000000001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6:F26"/>
    <mergeCell ref="I26:J26"/>
    <mergeCell ref="D20:F20"/>
    <mergeCell ref="I20:J20"/>
    <mergeCell ref="D22:F22"/>
    <mergeCell ref="I22:J22"/>
    <mergeCell ref="D25:F25"/>
    <mergeCell ref="I25:J25"/>
    <mergeCell ref="D24:F24"/>
    <mergeCell ref="I24:J24"/>
    <mergeCell ref="D21:F21"/>
    <mergeCell ref="I21:J21"/>
    <mergeCell ref="D23:F23"/>
    <mergeCell ref="I23:J2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8F75-698B-4175-BD0D-B8BB84F5CDE5}">
  <sheetPr>
    <tabColor rgb="FF7030A0"/>
    <pageSetUpPr fitToPage="1"/>
  </sheetPr>
  <dimension ref="B1:N52"/>
  <sheetViews>
    <sheetView topLeftCell="A3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2105</v>
      </c>
      <c r="J10" s="24" t="s">
        <v>27</v>
      </c>
      <c r="K10" s="493">
        <v>202501143</v>
      </c>
      <c r="L10" s="494"/>
    </row>
    <row r="11" spans="2:14" ht="20.149999999999999" customHeight="1" x14ac:dyDescent="0.45">
      <c r="B11" s="477" t="s">
        <v>2152</v>
      </c>
      <c r="C11" s="478"/>
      <c r="D11" s="479"/>
      <c r="E11" s="25"/>
      <c r="F11" s="480" t="str">
        <f>VLOOKUP(H10,'Delivery Location'!A$4:N$460,2,0)</f>
        <v>Hawkers Street BPP-Drinks Stall                       1 Jelebu Rd, Bukit Panjang Plaza,      #03-08 to 09, Singapore 677743  Contact person: Jia Ling 8909 0766</v>
      </c>
      <c r="G11" s="481"/>
      <c r="H11" s="482"/>
      <c r="J11" s="26" t="s">
        <v>9</v>
      </c>
      <c r="K11" s="495">
        <v>45664</v>
      </c>
      <c r="L11" s="496"/>
    </row>
    <row r="12" spans="2:14" ht="20.149999999999999" customHeight="1" x14ac:dyDescent="0.45">
      <c r="B12" s="488" t="s">
        <v>2065</v>
      </c>
      <c r="C12" s="449"/>
      <c r="D12" s="489"/>
      <c r="E12" s="25"/>
      <c r="F12" s="483"/>
      <c r="G12" s="484"/>
      <c r="H12" s="485"/>
      <c r="J12" s="26" t="s">
        <v>145</v>
      </c>
      <c r="K12" s="594" t="s">
        <v>2294</v>
      </c>
      <c r="L12" s="464"/>
    </row>
    <row r="13" spans="2:14" ht="20.149999999999999" customHeight="1" x14ac:dyDescent="0.45">
      <c r="B13" s="588" t="s">
        <v>2066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4" ht="20.149999999999999" customHeight="1" x14ac:dyDescent="0.45">
      <c r="B14" s="488" t="s">
        <v>2067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93"/>
    </row>
    <row r="18" spans="2:14" x14ac:dyDescent="0.45">
      <c r="B18" s="259" t="s">
        <v>2095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2</v>
      </c>
      <c r="H18" s="209" t="str">
        <f>VLOOKUP(C18,'Sales Master'!$B$3:$F$2413,5,0)</f>
        <v>NW(2.2:0.8) 3kg/ Bag包</v>
      </c>
      <c r="I18" s="563" t="str">
        <f>VLOOKUP(C18,'Sales Master'!$B$3:$E$2413,4,0)</f>
        <v>DO!</v>
      </c>
      <c r="J18" s="563"/>
      <c r="K18" s="83">
        <f>VLOOKUP(C18,'Sales Master'!B$3:CQ$675,94,0)</f>
        <v>6.5</v>
      </c>
      <c r="L18" s="84">
        <f t="shared" ref="L18" si="0">K18*G18</f>
        <v>13</v>
      </c>
      <c r="M18" s="65"/>
      <c r="N18" s="93"/>
    </row>
    <row r="19" spans="2:14" ht="20.149999999999999" customHeight="1" x14ac:dyDescent="0.45">
      <c r="B19" s="259" t="s">
        <v>2112</v>
      </c>
      <c r="C19" s="212" t="str">
        <f>VLOOKUP(B19,'Sales Master'!A$3:B$530,2,0)</f>
        <v>P3001B</v>
      </c>
      <c r="D19" s="461" t="str">
        <f>VLOOKUP(C19,'Sales Master'!B$3:D$530,2,)</f>
        <v>Atap Seeds in Syrup 亚嗒子</v>
      </c>
      <c r="E19" s="461"/>
      <c r="F19" s="461"/>
      <c r="G19" s="76">
        <v>1</v>
      </c>
      <c r="H19" s="209" t="str">
        <f>VLOOKUP(C19,'Sales Master'!$B$3:$F$2413,5,0)</f>
        <v>NW(1.6:0.6) 2.2kg/ Bag包</v>
      </c>
      <c r="I19" s="563" t="str">
        <f>VLOOKUP(C19,'Sales Master'!$B$3:$E$2413,4,0)</f>
        <v>DO!</v>
      </c>
      <c r="J19" s="563"/>
      <c r="K19" s="83">
        <f>VLOOKUP(C19,'Sales Master'!B$3:CQ$675,94,0)</f>
        <v>10.5</v>
      </c>
      <c r="L19" s="84">
        <f>K19*G19</f>
        <v>10.5</v>
      </c>
      <c r="M19" s="65"/>
      <c r="N19" s="93"/>
    </row>
    <row r="20" spans="2:14" ht="20.149999999999999" customHeight="1" x14ac:dyDescent="0.45">
      <c r="B20" s="259" t="s">
        <v>2096</v>
      </c>
      <c r="C20" s="212" t="str">
        <f>VLOOKUP(B20,'Sales Master'!A$3:B$530,2,0)</f>
        <v>P3004A</v>
      </c>
      <c r="D20" s="461" t="str">
        <f>VLOOKUP(C20,'Sales Master'!B$3:D$530,2,)</f>
        <v>GingKo Nut (Peel off) 白果仁</v>
      </c>
      <c r="E20" s="461"/>
      <c r="F20" s="461"/>
      <c r="G20" s="76">
        <v>2</v>
      </c>
      <c r="H20" s="209" t="str">
        <f>VLOOKUP(C20,'Sales Master'!$B$3:$F$2413,5,0)</f>
        <v>1 KG (500 GM X 2)</v>
      </c>
      <c r="I20" s="563" t="str">
        <f>VLOOKUP(C20,'Sales Master'!$B$3:$E$2413,4,0)</f>
        <v>-</v>
      </c>
      <c r="J20" s="563"/>
      <c r="K20" s="83">
        <f>VLOOKUP(C20,'Sales Master'!B$3:CQ$675,94,0)</f>
        <v>4.5</v>
      </c>
      <c r="L20" s="84">
        <f t="shared" ref="L20" si="1">K20*G20</f>
        <v>9</v>
      </c>
      <c r="M20" s="65"/>
      <c r="N20" s="93"/>
    </row>
    <row r="21" spans="2:14" ht="20.149999999999999" customHeight="1" x14ac:dyDescent="0.45">
      <c r="B21" s="259" t="s">
        <v>2097</v>
      </c>
      <c r="C21" s="212" t="str">
        <f>VLOOKUP(B21,'Sales Master'!A$3:B$530,2,0)</f>
        <v>P3006A</v>
      </c>
      <c r="D21" s="461" t="str">
        <f>VLOOKUP(C21,'Sales Master'!B$3:D$530,2,)</f>
        <v>Small Red Bean 小红豆</v>
      </c>
      <c r="E21" s="461"/>
      <c r="F21" s="461"/>
      <c r="G21" s="76">
        <v>2</v>
      </c>
      <c r="H21" s="209" t="str">
        <f>VLOOKUP(C21,'Sales Master'!$B$3:$F$2413,5,0)</f>
        <v>5 KG</v>
      </c>
      <c r="I21" s="563" t="str">
        <f>VLOOKUP(C21,'Sales Master'!$B$3:$E$2413,4,0)</f>
        <v>-</v>
      </c>
      <c r="J21" s="563"/>
      <c r="K21" s="83">
        <f>VLOOKUP(C21,'Sales Master'!B$3:CQ$675,94,0)</f>
        <v>17.5</v>
      </c>
      <c r="L21" s="84">
        <f>K21*G21</f>
        <v>35</v>
      </c>
      <c r="M21" s="65"/>
      <c r="N21" s="93"/>
    </row>
    <row r="22" spans="2:14" ht="20.149999999999999" customHeight="1" x14ac:dyDescent="0.45">
      <c r="B22" s="259" t="s">
        <v>2115</v>
      </c>
      <c r="C22" s="212" t="str">
        <f>VLOOKUP(B22,'Sales Master'!A$3:B$530,2,0)</f>
        <v>P3009A</v>
      </c>
      <c r="D22" s="461" t="str">
        <f>VLOOKUP(C22,'Sales Master'!B$3:D$530,2,)</f>
        <v>Green Bean 绿豆</v>
      </c>
      <c r="E22" s="461"/>
      <c r="F22" s="461"/>
      <c r="G22" s="76">
        <v>1</v>
      </c>
      <c r="H22" s="209" t="str">
        <f>VLOOKUP(C22,'Sales Master'!$B$3:$F$2413,5,0)</f>
        <v>5 KG</v>
      </c>
      <c r="I22" s="563" t="str">
        <f>VLOOKUP(C22,'Sales Master'!$B$3:$E$2413,4,0)</f>
        <v>-</v>
      </c>
      <c r="J22" s="563"/>
      <c r="K22" s="83">
        <f>VLOOKUP(C22,'Sales Master'!B$3:CQ$675,94,0)</f>
        <v>13</v>
      </c>
      <c r="L22" s="84">
        <f>K22*G22</f>
        <v>13</v>
      </c>
      <c r="M22" s="65"/>
      <c r="N22" s="93"/>
    </row>
    <row r="23" spans="2:14" ht="20.149999999999999" customHeight="1" x14ac:dyDescent="0.45">
      <c r="B23" s="259" t="s">
        <v>2098</v>
      </c>
      <c r="C23" s="212" t="str">
        <f>VLOOKUP(B23,'Sales Master'!A$3:B$530,2,0)</f>
        <v>P3016A</v>
      </c>
      <c r="D23" s="461" t="str">
        <f>VLOOKUP(C23,'Sales Master'!B$3:D$530,2,)</f>
        <v>Pearl Barley 薏米</v>
      </c>
      <c r="E23" s="461"/>
      <c r="F23" s="461"/>
      <c r="G23" s="76">
        <v>1</v>
      </c>
      <c r="H23" s="209" t="str">
        <f>VLOOKUP(C23,'Sales Master'!$B$3:$F$2413,5,0)</f>
        <v>5 KG</v>
      </c>
      <c r="I23" s="563" t="str">
        <f>VLOOKUP(C23,'Sales Master'!$B$3:$E$2413,4,0)</f>
        <v>-</v>
      </c>
      <c r="J23" s="563"/>
      <c r="K23" s="83">
        <f>VLOOKUP(C23,'Sales Master'!B$3:CQ$675,94,0)</f>
        <v>10</v>
      </c>
      <c r="L23" s="84">
        <f>K23*G23</f>
        <v>10</v>
      </c>
      <c r="M23" s="65"/>
      <c r="N23" s="93"/>
    </row>
    <row r="24" spans="2:14" ht="20.149999999999999" customHeight="1" x14ac:dyDescent="0.45">
      <c r="B24" s="259" t="s">
        <v>2116</v>
      </c>
      <c r="C24" s="212" t="str">
        <f>VLOOKUP(B24,'Sales Master'!A$3:B$530,2,0)</f>
        <v>P3019A</v>
      </c>
      <c r="D24" s="461" t="str">
        <f>VLOOKUP(C24,'Sales Master'!B$3:D$530,2,)</f>
        <v>Dried Longan 龙眼干</v>
      </c>
      <c r="E24" s="461"/>
      <c r="F24" s="461"/>
      <c r="G24" s="76">
        <v>2</v>
      </c>
      <c r="H24" s="209" t="str">
        <f>VLOOKUP(C24,'Sales Master'!$B$3:$F$2413,5,0)</f>
        <v>1 kg</v>
      </c>
      <c r="I24" s="563" t="str">
        <f>VLOOKUP(C24,'Sales Master'!$B$3:$E$2413,4,0)</f>
        <v>TL</v>
      </c>
      <c r="J24" s="563"/>
      <c r="K24" s="83">
        <f>VLOOKUP(C24,'Sales Master'!B$3:CQ$675,94,0)</f>
        <v>13</v>
      </c>
      <c r="L24" s="84">
        <f>K24*G24</f>
        <v>26</v>
      </c>
      <c r="M24" s="65"/>
      <c r="N24" s="93"/>
    </row>
    <row r="25" spans="2:14" ht="20.149999999999999" customHeight="1" x14ac:dyDescent="0.45">
      <c r="B25" s="259" t="s">
        <v>2182</v>
      </c>
      <c r="C25" s="212" t="str">
        <f>VLOOKUP(B25,'Sales Master'!A$3:B$530,2,0)</f>
        <v>P4010</v>
      </c>
      <c r="D25" s="461" t="str">
        <f>VLOOKUP(C25,'Sales Master'!B$3:D$530,2,)</f>
        <v>Lychee in Syrup 荔枝</v>
      </c>
      <c r="E25" s="461"/>
      <c r="F25" s="461"/>
      <c r="G25" s="76">
        <v>2</v>
      </c>
      <c r="H25" s="209" t="str">
        <f>VLOOKUP(C25,'Sales Master'!$B$3:$F$2413,5,0)</f>
        <v>12can/箱</v>
      </c>
      <c r="I25" s="563" t="str">
        <f>VLOOKUP(C25,'Sales Master'!$B$3:$E$2413,4,0)</f>
        <v>MiLi</v>
      </c>
      <c r="J25" s="563"/>
      <c r="K25" s="83">
        <f>VLOOKUP(C25,'Sales Master'!B$3:CQ$675,94,0)</f>
        <v>26</v>
      </c>
      <c r="L25" s="84">
        <f t="shared" ref="L25:L29" si="2">K25*G25</f>
        <v>52</v>
      </c>
      <c r="M25" s="65"/>
      <c r="N25" s="93"/>
    </row>
    <row r="26" spans="2:14" ht="20.149999999999999" customHeight="1" x14ac:dyDescent="0.45">
      <c r="B26" s="259" t="s">
        <v>2099</v>
      </c>
      <c r="C26" s="212" t="str">
        <f>VLOOKUP(B26,'Sales Master'!A$3:B$530,2,0)</f>
        <v>P4013</v>
      </c>
      <c r="D26" s="461" t="str">
        <f>VLOOKUP(C26,'Sales Master'!B$3:D$530,2,)</f>
        <v>Fruit Cocktail 杂果</v>
      </c>
      <c r="E26" s="461"/>
      <c r="F26" s="461"/>
      <c r="G26" s="76">
        <v>1</v>
      </c>
      <c r="H26" s="209" t="str">
        <f>VLOOKUP(C26,'Sales Master'!$B$3:$F$2413,5,0)</f>
        <v>820 GM x 12/ Ctn箱</v>
      </c>
      <c r="I26" s="563" t="str">
        <f>VLOOKUP(C26,'Sales Master'!$B$3:$E$2413,4,0)</f>
        <v>Statue</v>
      </c>
      <c r="J26" s="563"/>
      <c r="K26" s="83">
        <f>VLOOKUP(C26,'Sales Master'!B$3:CQ$675,94,0)</f>
        <v>38</v>
      </c>
      <c r="L26" s="84">
        <f t="shared" si="2"/>
        <v>38</v>
      </c>
      <c r="M26" s="65"/>
      <c r="N26" s="93"/>
    </row>
    <row r="27" spans="2:14" ht="20.149999999999999" customHeight="1" x14ac:dyDescent="0.45">
      <c r="B27" s="259" t="s">
        <v>2101</v>
      </c>
      <c r="C27" s="212" t="str">
        <f>VLOOKUP(B27,'Sales Master'!A$3:B$530,2,0)</f>
        <v>P4014</v>
      </c>
      <c r="D27" s="461" t="str">
        <f>VLOOKUP(C27,'Sales Master'!B$3:D$530,2,)</f>
        <v>Cream Corn 玉米浆</v>
      </c>
      <c r="E27" s="461"/>
      <c r="F27" s="461"/>
      <c r="G27" s="76">
        <v>1</v>
      </c>
      <c r="H27" s="209" t="str">
        <f>VLOOKUP(C27,'Sales Master'!$B$3:$F$2413,5,0)</f>
        <v>410 GM x 24/ Ctn箱</v>
      </c>
      <c r="I27" s="563" t="str">
        <f>VLOOKUP(C27,'Sales Master'!$B$3:$E$2413,4,0)</f>
        <v>Statue</v>
      </c>
      <c r="J27" s="563"/>
      <c r="K27" s="83">
        <f>VLOOKUP(C27,'Sales Master'!B$3:CQ$675,94,0)</f>
        <v>22</v>
      </c>
      <c r="L27" s="84">
        <f>K27*G27</f>
        <v>22</v>
      </c>
      <c r="M27" s="65"/>
      <c r="N27" s="93"/>
    </row>
    <row r="28" spans="2:14" ht="20.149999999999999" customHeight="1" x14ac:dyDescent="0.45">
      <c r="B28" s="259" t="s">
        <v>2103</v>
      </c>
      <c r="C28" s="212" t="str">
        <f>VLOOKUP(B28,'Sales Master'!A$3:B$530,2,0)</f>
        <v>P5002A</v>
      </c>
      <c r="D28" s="461" t="str">
        <f>VLOOKUP(C28,'Sales Master'!B$3:D$530,2,)</f>
        <v>Brown Sugar 黑糖</v>
      </c>
      <c r="E28" s="461"/>
      <c r="F28" s="461"/>
      <c r="G28" s="76">
        <v>1</v>
      </c>
      <c r="H28" s="209" t="str">
        <f>VLOOKUP(C28,'Sales Master'!$B$3:$F$2413,5,0)</f>
        <v>6 KG</v>
      </c>
      <c r="I28" s="563" t="str">
        <f>VLOOKUP(C28,'Sales Master'!$B$3:$E$2413,4,0)</f>
        <v>Star</v>
      </c>
      <c r="J28" s="563"/>
      <c r="K28" s="83">
        <f>VLOOKUP(C28,'Sales Master'!B$3:CQ$675,94,0)</f>
        <v>16.5</v>
      </c>
      <c r="L28" s="84">
        <f t="shared" si="2"/>
        <v>16.5</v>
      </c>
      <c r="M28" s="65"/>
      <c r="N28" s="93"/>
    </row>
    <row r="29" spans="2:14" ht="20.149999999999999" customHeight="1" x14ac:dyDescent="0.45">
      <c r="B29" s="259" t="s">
        <v>2111</v>
      </c>
      <c r="C29" s="212" t="str">
        <f>VLOOKUP(B29,'Sales Master'!A$3:B$530,2,0)</f>
        <v>P5008</v>
      </c>
      <c r="D29" s="461" t="str">
        <f>VLOOKUP(C29,'Sales Master'!B$3:D$530,2,)</f>
        <v>Coconut Sugar 椰糖</v>
      </c>
      <c r="E29" s="461"/>
      <c r="F29" s="461"/>
      <c r="G29" s="76">
        <v>1</v>
      </c>
      <c r="H29" s="209" t="str">
        <f>VLOOKUP(C29,'Sales Master'!$B$3:$F$2413,5,0)</f>
        <v>10 KG/ ctn</v>
      </c>
      <c r="I29" s="563" t="str">
        <f>VLOOKUP(C29,'Sales Master'!$B$3:$E$2413,4,0)</f>
        <v>BL BRAND</v>
      </c>
      <c r="J29" s="563"/>
      <c r="K29" s="83">
        <f>VLOOKUP(C29,'Sales Master'!B$3:CQ$675,94,0)</f>
        <v>37</v>
      </c>
      <c r="L29" s="84">
        <f t="shared" si="2"/>
        <v>37</v>
      </c>
      <c r="M29" s="65"/>
      <c r="N29" s="93"/>
    </row>
    <row r="30" spans="2:14" ht="20.149999999999999" customHeight="1" x14ac:dyDescent="0.45">
      <c r="B30" s="259" t="s">
        <v>2104</v>
      </c>
      <c r="C30" s="212" t="str">
        <f>VLOOKUP(B30,'Sales Master'!A$3:B$530,2,0)</f>
        <v>P6002A</v>
      </c>
      <c r="D30" s="498" t="str">
        <f>VLOOKUP(C30,'Sales Master'!B$3:D$530,2,)</f>
        <v>Skinless Sweet Potato 去皮番薯</v>
      </c>
      <c r="E30" s="498"/>
      <c r="F30" s="498"/>
      <c r="G30" s="76">
        <v>2</v>
      </c>
      <c r="H30" s="209" t="str">
        <f>VLOOKUP(C30,'Sales Master'!$B$3:$F$2413,5,0)</f>
        <v>5 KG</v>
      </c>
      <c r="I30" s="563" t="str">
        <f>VLOOKUP(C30,'Sales Master'!$B$3:$E$2413,4,0)</f>
        <v>Malaysia</v>
      </c>
      <c r="J30" s="563"/>
      <c r="K30" s="83">
        <f>VLOOKUP(C30,'Sales Master'!B$3:CQ$675,94,0)</f>
        <v>16.5</v>
      </c>
      <c r="L30" s="84">
        <f t="shared" ref="L30" si="3">K30*G30</f>
        <v>33</v>
      </c>
      <c r="M30" s="65"/>
      <c r="N30" s="93"/>
    </row>
    <row r="31" spans="2:14" ht="20.149999999999999" customHeight="1" x14ac:dyDescent="0.45">
      <c r="B31" s="259" t="s">
        <v>2109</v>
      </c>
      <c r="C31" s="212" t="str">
        <f>VLOOKUP(B31,'Sales Master'!A$3:B$530,2,0)</f>
        <v>P6007</v>
      </c>
      <c r="D31" s="461" t="str">
        <f>VLOOKUP(C31,'Sales Master'!B$3:D$530,2,)</f>
        <v>Pandan Leaf 班兰叶</v>
      </c>
      <c r="E31" s="461"/>
      <c r="F31" s="461"/>
      <c r="G31" s="76">
        <v>2</v>
      </c>
      <c r="H31" s="209" t="str">
        <f>VLOOKUP(C31,'Sales Master'!$B$3:$F$2413,5,0)</f>
        <v>1 KG</v>
      </c>
      <c r="I31" s="563" t="str">
        <f>VLOOKUP(C31,'Sales Master'!$B$3:$E$2413,4,0)</f>
        <v>-</v>
      </c>
      <c r="J31" s="563"/>
      <c r="K31" s="83">
        <f>VLOOKUP(C31,'Sales Master'!B$3:CQ$675,94,0)</f>
        <v>2</v>
      </c>
      <c r="L31" s="84">
        <f>K31*G31</f>
        <v>4</v>
      </c>
      <c r="M31" s="65"/>
      <c r="N31" s="93"/>
    </row>
    <row r="32" spans="2:14" ht="20.149999999999999" customHeight="1" x14ac:dyDescent="0.45">
      <c r="B32" s="259" t="s">
        <v>2110</v>
      </c>
      <c r="C32" s="212" t="str">
        <f>VLOOKUP(B32,'Sales Master'!A$3:B$530,2,0)</f>
        <v>P6008</v>
      </c>
      <c r="D32" s="461" t="str">
        <f>VLOOKUP(C32,'Sales Master'!B$3:D$530,2,)</f>
        <v>Lime 酸甘</v>
      </c>
      <c r="E32" s="461"/>
      <c r="F32" s="461"/>
      <c r="G32" s="76">
        <v>2</v>
      </c>
      <c r="H32" s="209" t="str">
        <f>VLOOKUP(C32,'Sales Master'!$B$3:$F$2413,5,0)</f>
        <v>1 KG</v>
      </c>
      <c r="I32" s="563" t="str">
        <f>VLOOKUP(C32,'Sales Master'!$B$3:$E$2413,4,0)</f>
        <v>-</v>
      </c>
      <c r="J32" s="563"/>
      <c r="K32" s="83">
        <f>VLOOKUP(C32,'Sales Master'!B$3:CQ$675,94,0)</f>
        <v>3.5</v>
      </c>
      <c r="L32" s="84">
        <f t="shared" ref="L32" si="4">K32*G32</f>
        <v>7</v>
      </c>
      <c r="M32" s="65"/>
      <c r="N32" s="93"/>
    </row>
    <row r="33" spans="2:14" ht="20.149999999999999" customHeight="1" x14ac:dyDescent="0.45">
      <c r="B33" s="259" t="s">
        <v>2113</v>
      </c>
      <c r="C33" s="212" t="str">
        <f>VLOOKUP(B33,'Sales Master'!A$3:B$530,2,0)</f>
        <v>P6011</v>
      </c>
      <c r="D33" s="461" t="str">
        <f>VLOOKUP(C33,'Sales Master'!B$3:D$530,2,)</f>
        <v>Ginger 老姜</v>
      </c>
      <c r="E33" s="461"/>
      <c r="F33" s="461"/>
      <c r="G33" s="76">
        <v>1.1000000000000001</v>
      </c>
      <c r="H33" s="209" t="str">
        <f>VLOOKUP(C33,'Sales Master'!$B$3:$F$2413,5,0)</f>
        <v>1 KG</v>
      </c>
      <c r="I33" s="563" t="str">
        <f>VLOOKUP(C33,'Sales Master'!$B$3:$E$2413,4,0)</f>
        <v>-</v>
      </c>
      <c r="J33" s="563"/>
      <c r="K33" s="83">
        <f>VLOOKUP(C33,'Sales Master'!B$3:CQ$675,94,0)</f>
        <v>5</v>
      </c>
      <c r="L33" s="84">
        <f>K33*G33</f>
        <v>5.5</v>
      </c>
      <c r="M33" s="65"/>
      <c r="N33" s="93"/>
    </row>
    <row r="34" spans="2:14" ht="20.149999999999999" customHeight="1" x14ac:dyDescent="0.45">
      <c r="B34" s="259" t="s">
        <v>2119</v>
      </c>
      <c r="C34" s="212" t="str">
        <f>VLOOKUP(B34,'Sales Master'!A$3:B$530,2,0)</f>
        <v>P6016</v>
      </c>
      <c r="D34" s="461" t="str">
        <f>VLOOKUP(C34,'Sales Master'!B$3:D$530,2,)</f>
        <v>Yellow Lemon 柠檬</v>
      </c>
      <c r="E34" s="461"/>
      <c r="F34" s="461"/>
      <c r="G34" s="76">
        <v>5</v>
      </c>
      <c r="H34" s="209" t="str">
        <f>VLOOKUP(C34,'Sales Master'!$B$3:$F$2413,5,0)</f>
        <v>1 KG</v>
      </c>
      <c r="I34" s="563" t="str">
        <f>VLOOKUP(C34,'Sales Master'!$B$3:$E$2413,4,0)</f>
        <v>-</v>
      </c>
      <c r="J34" s="563"/>
      <c r="K34" s="83">
        <f>VLOOKUP(C34,'Sales Master'!B$3:CQ$675,94,0)</f>
        <v>3.8</v>
      </c>
      <c r="L34" s="84">
        <f t="shared" ref="L34" si="5">K34*G34</f>
        <v>19</v>
      </c>
      <c r="M34" s="65"/>
      <c r="N34" s="93"/>
    </row>
    <row r="35" spans="2:14" x14ac:dyDescent="0.45">
      <c r="B35" s="259" t="s">
        <v>2143</v>
      </c>
      <c r="C35" s="212" t="str">
        <f>VLOOKUP(B35,'Sales Master'!A$3:B$530,2,0)</f>
        <v>P6019</v>
      </c>
      <c r="D35" s="461" t="str">
        <f>VLOOKUP(C35,'Sales Master'!B$3:D$530,2,)</f>
        <v>Lemongrass 香茅</v>
      </c>
      <c r="E35" s="461"/>
      <c r="F35" s="461"/>
      <c r="G35" s="76">
        <v>1</v>
      </c>
      <c r="H35" s="209" t="str">
        <f>VLOOKUP(C35,'Sales Master'!$B$3:$F$2413,5,0)</f>
        <v>1KG</v>
      </c>
      <c r="I35" s="563" t="str">
        <f>VLOOKUP(C35,'Sales Master'!$B$3:$E$2413,4,0)</f>
        <v>-</v>
      </c>
      <c r="J35" s="563"/>
      <c r="K35" s="83">
        <f>VLOOKUP(C35,'Sales Master'!B$3:CQ$675,94,0)</f>
        <v>4</v>
      </c>
      <c r="L35" s="84">
        <f>K35*G35</f>
        <v>4</v>
      </c>
      <c r="M35" s="65"/>
      <c r="N35" s="93"/>
    </row>
    <row r="36" spans="2:14" ht="20.149999999999999" customHeight="1" x14ac:dyDescent="0.45">
      <c r="B36" s="259"/>
      <c r="C36" s="212"/>
      <c r="D36" s="461"/>
      <c r="E36" s="461"/>
      <c r="F36" s="461"/>
      <c r="G36" s="76"/>
      <c r="H36" s="209"/>
      <c r="I36" s="563"/>
      <c r="J36" s="563"/>
      <c r="K36" s="83"/>
      <c r="L36" s="84"/>
      <c r="M36" s="65"/>
      <c r="N36" s="93"/>
    </row>
    <row r="37" spans="2:14" ht="20.149999999999999" customHeight="1" x14ac:dyDescent="0.45">
      <c r="B37" s="58"/>
      <c r="C37" s="212"/>
      <c r="D37" s="461"/>
      <c r="E37" s="461"/>
      <c r="F37" s="461"/>
      <c r="G37" s="76"/>
      <c r="H37" s="209"/>
      <c r="I37" s="563"/>
      <c r="J37" s="563"/>
      <c r="K37" s="83"/>
      <c r="L37" s="84"/>
      <c r="M37" s="65"/>
      <c r="N37" s="93"/>
    </row>
    <row r="38" spans="2:14" ht="20.149999999999999" customHeight="1" x14ac:dyDescent="0.45">
      <c r="B38" s="58"/>
      <c r="C38" s="212"/>
      <c r="G38" s="76"/>
      <c r="H38" s="209"/>
      <c r="I38" s="183"/>
      <c r="J38" s="183"/>
      <c r="K38" s="83"/>
      <c r="L38" s="84"/>
      <c r="M38" s="65"/>
      <c r="N38" s="93"/>
    </row>
    <row r="39" spans="2:14" ht="20.149999999999999" customHeight="1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  <c r="N39" s="93"/>
    </row>
    <row r="40" spans="2:14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55" t="s">
        <v>13</v>
      </c>
      <c r="K40" s="456"/>
      <c r="L40" s="38">
        <f>SUM(L18:L39)</f>
        <v>354.5</v>
      </c>
      <c r="M40" s="63">
        <f>SUM(P18:P39)</f>
        <v>0</v>
      </c>
      <c r="N40" s="93"/>
    </row>
    <row r="41" spans="2:14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v>0</v>
      </c>
      <c r="N41" s="93"/>
    </row>
    <row r="42" spans="2:14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>
        <f>L40-L41</f>
        <v>354.5</v>
      </c>
      <c r="N42" s="93"/>
    </row>
    <row r="43" spans="2:14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31.904999999999998</v>
      </c>
    </row>
    <row r="44" spans="2:14" ht="20.149999999999999" customHeight="1" thickBot="1" x14ac:dyDescent="0.5">
      <c r="B44" s="10" t="s">
        <v>700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>
        <f>L42+L43</f>
        <v>386.40499999999997</v>
      </c>
    </row>
    <row r="45" spans="2:14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4" ht="20.149999999999999" customHeight="1" x14ac:dyDescent="0.45">
      <c r="B46" s="144" t="s">
        <v>690</v>
      </c>
      <c r="L46" s="37"/>
    </row>
    <row r="47" spans="2:14" ht="20.149999999999999" customHeight="1" x14ac:dyDescent="0.45">
      <c r="B47" s="36"/>
      <c r="L47" s="37"/>
    </row>
    <row r="48" spans="2:14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7">
    <mergeCell ref="D17:F17"/>
    <mergeCell ref="D33:F33"/>
    <mergeCell ref="I17:J17"/>
    <mergeCell ref="D18:F18"/>
    <mergeCell ref="I18:J18"/>
    <mergeCell ref="D28:F28"/>
    <mergeCell ref="I27:J27"/>
    <mergeCell ref="I25:J25"/>
    <mergeCell ref="I26:J26"/>
    <mergeCell ref="I28:J28"/>
    <mergeCell ref="D23:F23"/>
    <mergeCell ref="D30:F30"/>
    <mergeCell ref="I23:J23"/>
    <mergeCell ref="I30:J30"/>
    <mergeCell ref="D19:F19"/>
    <mergeCell ref="I19:J19"/>
    <mergeCell ref="I20:J20"/>
    <mergeCell ref="D34:F34"/>
    <mergeCell ref="I34:J34"/>
    <mergeCell ref="D32:F32"/>
    <mergeCell ref="I32:J32"/>
    <mergeCell ref="D31:F31"/>
    <mergeCell ref="I31:J31"/>
    <mergeCell ref="D20:F20"/>
    <mergeCell ref="D21:F21"/>
    <mergeCell ref="I22:J22"/>
    <mergeCell ref="D27:F27"/>
    <mergeCell ref="D25:F25"/>
    <mergeCell ref="D26:F26"/>
    <mergeCell ref="I21:J21"/>
    <mergeCell ref="I24:J24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4:K44"/>
    <mergeCell ref="D37:F37"/>
    <mergeCell ref="I37:J37"/>
    <mergeCell ref="J40:K40"/>
    <mergeCell ref="J42:K42"/>
    <mergeCell ref="I36:J36"/>
    <mergeCell ref="I29:J29"/>
    <mergeCell ref="D29:F29"/>
    <mergeCell ref="D36:F36"/>
    <mergeCell ref="D24:F24"/>
    <mergeCell ref="D35:F35"/>
    <mergeCell ref="I33:J33"/>
    <mergeCell ref="I35:J3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1CD2-3B92-44AB-8AF6-4867B85C74EA}">
  <sheetPr>
    <tabColor rgb="FF7030A0"/>
    <pageSetUpPr fitToPage="1"/>
  </sheetPr>
  <dimension ref="B1:P42"/>
  <sheetViews>
    <sheetView topLeftCell="C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2140</v>
      </c>
      <c r="J10" s="24" t="s">
        <v>27</v>
      </c>
      <c r="K10" s="493">
        <v>202501085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Koufu-Drink Stall                                                1 Venture Avenue, #02-05,         Perennial Business City,         Singapore 608521</v>
      </c>
      <c r="G11" s="481"/>
      <c r="H11" s="482"/>
      <c r="J11" s="26" t="s">
        <v>9</v>
      </c>
      <c r="K11" s="495">
        <v>45661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736</v>
      </c>
      <c r="D18" s="564" t="str">
        <f>VLOOKUP(C18,'Sales Master'!B$3:D$530,2,)</f>
        <v>Bobo ChaCha Cubes 摩摩喳喳</v>
      </c>
      <c r="E18" s="564"/>
      <c r="F18" s="564"/>
      <c r="G18" s="17">
        <v>2</v>
      </c>
      <c r="H18" s="85" t="str">
        <f>VLOOKUP(C18,'Sales Master'!$B$3:$F$2481,5,0)</f>
        <v>800 GM/ Bag包</v>
      </c>
      <c r="I18" s="497" t="str">
        <f>VLOOKUP(C18,'Sales Master'!$B$3:$E$2481,4,0)</f>
        <v>DO!</v>
      </c>
      <c r="J18" s="497"/>
      <c r="K18" s="30">
        <f>VLOOKUP(C18,'Sales Master'!$B$3:$J$530,9,0)</f>
        <v>6</v>
      </c>
      <c r="L18" s="31">
        <f>K18*G18</f>
        <v>12</v>
      </c>
      <c r="N18" s="145">
        <f>VLOOKUP(C18,'Sales Master'!$B$3:$DA$2272,104,0)</f>
        <v>0.89</v>
      </c>
      <c r="O18" s="145">
        <f>K18-N18</f>
        <v>5.1100000000000003</v>
      </c>
      <c r="P18" s="145">
        <f>O18*G18</f>
        <v>10.220000000000001</v>
      </c>
    </row>
    <row r="19" spans="2:16" ht="20.149999999999999" customHeight="1" x14ac:dyDescent="0.45">
      <c r="B19" s="29"/>
      <c r="C19" s="212" t="s">
        <v>831</v>
      </c>
      <c r="D19" s="461" t="str">
        <f>VLOOKUP(C19,'Sales Master'!B$3:D$530,2,)</f>
        <v>Chin Chow  仙草</v>
      </c>
      <c r="E19" s="461"/>
      <c r="F19" s="461"/>
      <c r="G19" s="17">
        <v>1</v>
      </c>
      <c r="H19" s="85" t="str">
        <f>VLOOKUP(C19,'Sales Master'!$B$3:$F$2481,5,0)</f>
        <v>4 KG/ Pkt包</v>
      </c>
      <c r="I19" s="497" t="str">
        <f>VLOOKUP(C19,'Sales Master'!$B$3:$E$2481,4,0)</f>
        <v>TSM</v>
      </c>
      <c r="J19" s="497"/>
      <c r="K19" s="30">
        <f>VLOOKUP(C19,'Sales Master'!$B$3:$J$530,9,0)</f>
        <v>6</v>
      </c>
      <c r="L19" s="31">
        <f>K19*G19</f>
        <v>6</v>
      </c>
      <c r="N19" s="145">
        <f>VLOOKUP(C19,'Sales Master'!$B$3:$DA$2272,104,0)</f>
        <v>4</v>
      </c>
      <c r="O19" s="145">
        <f>K19-N19</f>
        <v>2</v>
      </c>
      <c r="P19" s="145">
        <f>O19*G19</f>
        <v>2</v>
      </c>
    </row>
    <row r="20" spans="2:16" ht="20.149999999999999" customHeight="1" x14ac:dyDescent="0.45">
      <c r="B20" s="29"/>
      <c r="C20" s="212" t="s">
        <v>849</v>
      </c>
      <c r="D20" s="461" t="str">
        <f>VLOOKUP(C20,'Sales Master'!B$3:D$530,2,)</f>
        <v>Green Bean 绿豆</v>
      </c>
      <c r="E20" s="461"/>
      <c r="F20" s="461"/>
      <c r="G20" s="17">
        <v>1</v>
      </c>
      <c r="H20" s="85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Master'!$B$3:$J$530,9,0)</f>
        <v>13</v>
      </c>
      <c r="L20" s="31">
        <f t="shared" ref="L20" si="0">K20*G20</f>
        <v>13</v>
      </c>
      <c r="N20" s="145">
        <f>VLOOKUP(C20,'Sales Master'!$B$3:$DA$2272,104,0)</f>
        <v>8.75</v>
      </c>
      <c r="O20" s="145">
        <f t="shared" ref="O20" si="1">K20-N20</f>
        <v>4.25</v>
      </c>
      <c r="P20" s="145">
        <f t="shared" ref="P20" si="2">O20*G20</f>
        <v>4.25</v>
      </c>
    </row>
    <row r="21" spans="2:16" ht="20.149999999999999" customHeight="1" x14ac:dyDescent="0.45">
      <c r="B21" s="29"/>
      <c r="C21" s="212" t="s">
        <v>870</v>
      </c>
      <c r="D21" s="461" t="str">
        <f>VLOOKUP(C21,'Sales Master'!B$3:D$530,2,)</f>
        <v>Pearl Barley 薏米</v>
      </c>
      <c r="E21" s="461"/>
      <c r="F21" s="461"/>
      <c r="G21" s="17">
        <v>2</v>
      </c>
      <c r="H21" s="85" t="str">
        <f>VLOOKUP(C21,'Sales Master'!$B$3:$F$2481,5,0)</f>
        <v>5 KG</v>
      </c>
      <c r="I21" s="497" t="str">
        <f>VLOOKUP(C21,'Sales Master'!$B$3:$E$2481,4,0)</f>
        <v>-</v>
      </c>
      <c r="J21" s="497"/>
      <c r="K21" s="30">
        <f>VLOOKUP(C21,'Sales Master'!$B$3:$J$530,9,0)</f>
        <v>10</v>
      </c>
      <c r="L21" s="31">
        <f t="shared" ref="L21" si="3">K21*G21</f>
        <v>20</v>
      </c>
      <c r="N21" s="145">
        <f>VLOOKUP(C21,'Sales Master'!$B$3:$DA$2272,104,0)</f>
        <v>7.6</v>
      </c>
      <c r="O21" s="145">
        <f t="shared" ref="O21" si="4">K21-N21</f>
        <v>2.4000000000000004</v>
      </c>
      <c r="P21" s="145">
        <f t="shared" ref="P21" si="5">O21*G21</f>
        <v>4.8000000000000007</v>
      </c>
    </row>
    <row r="22" spans="2:16" ht="20.149999999999999" customHeight="1" x14ac:dyDescent="0.45">
      <c r="B22" s="29"/>
      <c r="C22" s="212" t="s">
        <v>961</v>
      </c>
      <c r="D22" s="461" t="str">
        <f>VLOOKUP(C22,'Sales Master'!B$3:D$530,2,)</f>
        <v>Lychee in Syrup 荔枝</v>
      </c>
      <c r="E22" s="461"/>
      <c r="F22" s="461"/>
      <c r="G22" s="17">
        <v>2</v>
      </c>
      <c r="H22" s="85" t="str">
        <f>VLOOKUP(C22,'Sales Master'!$B$3:$F$2481,5,0)</f>
        <v>12 CAN/CARTON</v>
      </c>
      <c r="I22" s="497" t="str">
        <f>VLOOKUP(C22,'Sales Master'!$B$3:$E$2481,4,0)</f>
        <v>Statue</v>
      </c>
      <c r="J22" s="497"/>
      <c r="K22" s="30">
        <f>VLOOKUP(C22,'Sales Master'!$B$3:$J$530,9,0)</f>
        <v>22</v>
      </c>
      <c r="L22" s="31">
        <f t="shared" ref="L22" si="6">K22*G22</f>
        <v>44</v>
      </c>
      <c r="N22" s="145">
        <f>VLOOKUP(C22,'Sales Master'!$B$3:$DA$2272,104,0)</f>
        <v>16.5</v>
      </c>
      <c r="O22" s="145">
        <f t="shared" ref="O22" si="7">K22-N22</f>
        <v>5.5</v>
      </c>
      <c r="P22" s="145">
        <f t="shared" ref="P22" si="8">O22*G22</f>
        <v>11</v>
      </c>
    </row>
    <row r="23" spans="2:16" ht="20.149999999999999" customHeight="1" x14ac:dyDescent="0.45">
      <c r="B23" s="29"/>
      <c r="C23" s="212" t="s">
        <v>990</v>
      </c>
      <c r="D23" s="492" t="str">
        <f>VLOOKUP(C23,'Sales Master'!B$3:D$530,2,)</f>
        <v>Coconut Milk 椰浆</v>
      </c>
      <c r="E23" s="492"/>
      <c r="F23" s="492"/>
      <c r="G23" s="17">
        <v>2</v>
      </c>
      <c r="H23" s="85" t="str">
        <f>VLOOKUP(C23,'Sales Master'!$B$3:$F$2481,5,0)</f>
        <v>(1L x 12bag)/箱</v>
      </c>
      <c r="I23" s="497" t="str">
        <f>VLOOKUP(C23,'Sales Master'!$B$3:$E$2481,4,0)</f>
        <v>Kara UHT</v>
      </c>
      <c r="J23" s="497"/>
      <c r="K23" s="30">
        <f>VLOOKUP(C23,'Sales Master'!$B$3:$J$530,9,0)</f>
        <v>42</v>
      </c>
      <c r="L23" s="31">
        <f>K23*G23</f>
        <v>84</v>
      </c>
      <c r="N23" s="145">
        <f>VLOOKUP(C23,'Sales Master'!$B$3:$DA$2272,104,0)</f>
        <v>35.799999999999997</v>
      </c>
      <c r="O23" s="145">
        <f>K23-N23</f>
        <v>6.2000000000000028</v>
      </c>
      <c r="P23" s="145">
        <f>O23*G23</f>
        <v>12.400000000000006</v>
      </c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97"/>
      <c r="J24" s="497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179</v>
      </c>
      <c r="M30" s="63">
        <f>SUM(P18:P23)-L30*0.02</f>
        <v>41.09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179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16.11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195.11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D19:F19"/>
    <mergeCell ref="I19:J19"/>
    <mergeCell ref="J34:K34"/>
    <mergeCell ref="D25:F25"/>
    <mergeCell ref="D26:F26"/>
    <mergeCell ref="D27:F27"/>
    <mergeCell ref="D28:F28"/>
    <mergeCell ref="J30:K30"/>
    <mergeCell ref="J32:K32"/>
    <mergeCell ref="I17:J17"/>
    <mergeCell ref="D21:F21"/>
    <mergeCell ref="I21:J21"/>
    <mergeCell ref="D23:F23"/>
    <mergeCell ref="I23:J23"/>
    <mergeCell ref="D18:F18"/>
    <mergeCell ref="I18:J18"/>
    <mergeCell ref="D17:F17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F8B-3120-49C5-BCBD-1208B7D23DF3}">
  <sheetPr>
    <tabColor rgb="FF7030A0"/>
    <pageSetUpPr fitToPage="1"/>
  </sheetPr>
  <dimension ref="B1:V47"/>
  <sheetViews>
    <sheetView topLeftCell="A33" workbookViewId="0">
      <selection activeCell="G25" sqref="G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2154</v>
      </c>
      <c r="J10" s="24" t="s">
        <v>27</v>
      </c>
      <c r="K10" s="493">
        <v>202501173</v>
      </c>
      <c r="L10" s="494"/>
    </row>
    <row r="11" spans="2:14" ht="20.149999999999999" customHeight="1" x14ac:dyDescent="0.45">
      <c r="B11" s="477" t="s">
        <v>2156</v>
      </c>
      <c r="C11" s="478"/>
      <c r="D11" s="479"/>
      <c r="E11" s="25"/>
      <c r="F11" s="480" t="str">
        <f>VLOOKUP(H10,'Delivery Location'!A$4:N$460,2,0)</f>
        <v>Universal Dining T2- Stall 1- Drinks                60 Airport Boulevard, Terminal 2 Departure Transit Lounge,             Central Level 3, Singapore 819643  Contact person: Ben 85108039</v>
      </c>
      <c r="G11" s="481"/>
      <c r="H11" s="482"/>
      <c r="J11" s="26" t="s">
        <v>9</v>
      </c>
      <c r="K11" s="495">
        <v>45665</v>
      </c>
      <c r="L11" s="496"/>
    </row>
    <row r="12" spans="2:14" ht="20.149999999999999" customHeight="1" x14ac:dyDescent="0.45">
      <c r="B12" s="488" t="s">
        <v>2065</v>
      </c>
      <c r="C12" s="449"/>
      <c r="D12" s="489"/>
      <c r="E12" s="25"/>
      <c r="F12" s="483"/>
      <c r="G12" s="484"/>
      <c r="H12" s="485"/>
      <c r="J12" s="26" t="s">
        <v>145</v>
      </c>
      <c r="K12" s="594" t="s">
        <v>2300</v>
      </c>
      <c r="L12" s="464"/>
    </row>
    <row r="13" spans="2:14" ht="20.149999999999999" customHeight="1" x14ac:dyDescent="0.45">
      <c r="B13" s="588" t="s">
        <v>2066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4" ht="20.149999999999999" customHeight="1" x14ac:dyDescent="0.45">
      <c r="B14" s="488" t="s">
        <v>2067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x14ac:dyDescent="0.45">
      <c r="B18" s="58" t="s">
        <v>2097</v>
      </c>
      <c r="C18" s="212" t="str">
        <f>VLOOKUP(B18,'Sales Master'!A$3:B$530,2,0)</f>
        <v>P3006A</v>
      </c>
      <c r="D18" s="461" t="str">
        <f>VLOOKUP(C18,'Sales Master'!B$3:D$530,2,)</f>
        <v>Small Red Bean 小红豆</v>
      </c>
      <c r="E18" s="461"/>
      <c r="F18" s="461"/>
      <c r="G18" s="76">
        <v>3</v>
      </c>
      <c r="H18" s="209" t="str">
        <f>VLOOKUP(C18,'Sales Master'!$B$3:$F$2413,5,0)</f>
        <v>5 KG</v>
      </c>
      <c r="I18" s="563" t="str">
        <f>VLOOKUP(C18,'Sales Master'!$B$3:$E$2413,4,0)</f>
        <v>-</v>
      </c>
      <c r="J18" s="563"/>
      <c r="K18" s="83">
        <f>VLOOKUP(C18,'Sales Master'!B$3:CQ$675,94,0)</f>
        <v>17.5</v>
      </c>
      <c r="L18" s="84">
        <f t="shared" ref="L18" si="0">K18*G18</f>
        <v>52.5</v>
      </c>
      <c r="M18" s="65"/>
      <c r="N18" s="145">
        <f>VLOOKUP(C18,'Sales Master'!$B$3:$DA$2272,104,0)</f>
        <v>12.75</v>
      </c>
      <c r="O18" s="145">
        <f t="shared" ref="O18" si="1">K18-N18</f>
        <v>4.75</v>
      </c>
      <c r="P18" s="145">
        <f t="shared" ref="P18" si="2">O18*G18</f>
        <v>14.25</v>
      </c>
      <c r="R18" s="19">
        <v>2</v>
      </c>
      <c r="S18" s="19" t="s">
        <v>34</v>
      </c>
      <c r="T18" s="19" t="s">
        <v>62</v>
      </c>
      <c r="V18" s="19">
        <v>6</v>
      </c>
    </row>
    <row r="19" spans="2:22" ht="20.149999999999999" customHeight="1" x14ac:dyDescent="0.45">
      <c r="B19" s="58" t="s">
        <v>2115</v>
      </c>
      <c r="C19" s="212" t="str">
        <f>VLOOKUP(B19,'Sales Master'!A$3:B$530,2,0)</f>
        <v>P3009A</v>
      </c>
      <c r="D19" s="461" t="str">
        <f>VLOOKUP(C19,'Sales Master'!B$3:D$530,2,)</f>
        <v>Green Bean 绿豆</v>
      </c>
      <c r="E19" s="461"/>
      <c r="F19" s="461"/>
      <c r="G19" s="76">
        <v>2</v>
      </c>
      <c r="H19" s="209" t="str">
        <f>VLOOKUP(C19,'Sales Master'!$B$3:$F$2413,5,0)</f>
        <v>5 KG</v>
      </c>
      <c r="I19" s="563" t="str">
        <f>VLOOKUP(C19,'Sales Master'!$B$3:$E$2413,4,0)</f>
        <v>-</v>
      </c>
      <c r="J19" s="563"/>
      <c r="K19" s="83">
        <f>VLOOKUP(C19,'Sales Master'!B$3:CQ$675,94,0)</f>
        <v>13</v>
      </c>
      <c r="L19" s="84">
        <f>K19*G19</f>
        <v>26</v>
      </c>
      <c r="M19" s="65"/>
      <c r="N19" s="145">
        <f>VLOOKUP(C19,'Sales Master'!$B$3:$DA$2272,104,0)</f>
        <v>8.75</v>
      </c>
      <c r="O19" s="145">
        <f>K19-N19</f>
        <v>4.25</v>
      </c>
      <c r="P19" s="145">
        <f>O19*G19</f>
        <v>8.5</v>
      </c>
    </row>
    <row r="20" spans="2:22" ht="20.149999999999999" customHeight="1" x14ac:dyDescent="0.45">
      <c r="B20" s="395" t="s">
        <v>2098</v>
      </c>
      <c r="C20" s="212" t="str">
        <f>VLOOKUP(B20,'Sales Master'!A$3:B$530,2,0)</f>
        <v>P3016A</v>
      </c>
      <c r="D20" s="461" t="str">
        <f>VLOOKUP(C20,'Sales Master'!B$3:D$530,2,)</f>
        <v>Pearl Barley 薏米</v>
      </c>
      <c r="E20" s="461"/>
      <c r="F20" s="461"/>
      <c r="G20" s="76">
        <v>1</v>
      </c>
      <c r="H20" s="209" t="str">
        <f>VLOOKUP(C20,'Sales Master'!$B$3:$F$2413,5,0)</f>
        <v>5 KG</v>
      </c>
      <c r="I20" s="563" t="str">
        <f>VLOOKUP(C20,'Sales Master'!$B$3:$E$2413,4,0)</f>
        <v>-</v>
      </c>
      <c r="J20" s="563"/>
      <c r="K20" s="83">
        <f>VLOOKUP(C20,'Sales Master'!B$3:CQ$675,94,0)</f>
        <v>10</v>
      </c>
      <c r="L20" s="84">
        <f>K20*G20</f>
        <v>10</v>
      </c>
      <c r="M20" s="65"/>
      <c r="N20" s="145">
        <f>VLOOKUP(C20,'Sales Master'!$B$3:$DA$2272,104,0)</f>
        <v>7.6</v>
      </c>
      <c r="O20" s="145">
        <f>K20-N20</f>
        <v>2.4000000000000004</v>
      </c>
      <c r="P20" s="145">
        <f>O20*G20</f>
        <v>2.4000000000000004</v>
      </c>
    </row>
    <row r="21" spans="2:22" ht="20.149999999999999" customHeight="1" x14ac:dyDescent="0.45">
      <c r="B21" s="395" t="s">
        <v>2114</v>
      </c>
      <c r="C21" s="212" t="str">
        <f>VLOOKUP(B21,'Sales Master'!A$3:B$530,2,0)</f>
        <v>P3018A</v>
      </c>
      <c r="D21" s="461" t="str">
        <f>VLOOKUP(C21,'Sales Master'!B$3:D$530,2,)</f>
        <v>Small Sago 小丸</v>
      </c>
      <c r="E21" s="461"/>
      <c r="F21" s="461"/>
      <c r="G21" s="76">
        <v>1</v>
      </c>
      <c r="H21" s="209" t="str">
        <f>VLOOKUP(C21,'Sales Master'!$B$3:$F$2413,5,0)</f>
        <v>5 KG</v>
      </c>
      <c r="I21" s="563" t="str">
        <f>VLOOKUP(C21,'Sales Master'!$B$3:$E$2413,4,0)</f>
        <v>-</v>
      </c>
      <c r="J21" s="563"/>
      <c r="K21" s="83">
        <f>VLOOKUP(C21,'Sales Master'!B$3:CQ$675,94,0)</f>
        <v>10.5</v>
      </c>
      <c r="L21" s="84">
        <f>K21*G21</f>
        <v>10.5</v>
      </c>
      <c r="M21" s="65"/>
      <c r="N21" s="145">
        <f>VLOOKUP(C21,'Sales Master'!$B$3:$DA$2272,104,0)</f>
        <v>0.70833333333333326</v>
      </c>
      <c r="O21" s="145">
        <f>K21-N21</f>
        <v>9.7916666666666661</v>
      </c>
      <c r="P21" s="145">
        <f>O21*G21</f>
        <v>9.7916666666666661</v>
      </c>
    </row>
    <row r="22" spans="2:22" ht="20.149999999999999" customHeight="1" x14ac:dyDescent="0.45">
      <c r="B22" s="58" t="s">
        <v>2116</v>
      </c>
      <c r="C22" s="212" t="str">
        <f>VLOOKUP(B22,'Sales Master'!A$3:B$530,2,0)</f>
        <v>P3019A</v>
      </c>
      <c r="D22" s="461" t="str">
        <f>VLOOKUP(C22,'Sales Master'!B$3:D$530,2,)</f>
        <v>Dried Longan 龙眼干</v>
      </c>
      <c r="E22" s="461"/>
      <c r="F22" s="461"/>
      <c r="G22" s="76">
        <v>2</v>
      </c>
      <c r="H22" s="209" t="str">
        <f>VLOOKUP(C22,'Sales Master'!$B$3:$F$2413,5,0)</f>
        <v>1 kg</v>
      </c>
      <c r="I22" s="563" t="str">
        <f>VLOOKUP(C22,'Sales Master'!$B$3:$E$2413,4,0)</f>
        <v>TL</v>
      </c>
      <c r="J22" s="563"/>
      <c r="K22" s="83">
        <f>VLOOKUP(C22,'Sales Master'!B$3:CQ$675,94,0)</f>
        <v>13</v>
      </c>
      <c r="L22" s="84">
        <f>K22*G22</f>
        <v>26</v>
      </c>
      <c r="M22" s="65"/>
      <c r="N22" s="145">
        <f>VLOOKUP(C22,'Sales Master'!$B$3:$DA$2272,104,0)</f>
        <v>8.8000000000000007</v>
      </c>
      <c r="O22" s="145">
        <f>K22-N22</f>
        <v>4.1999999999999993</v>
      </c>
      <c r="P22" s="145">
        <f>O22*G22</f>
        <v>8.3999999999999986</v>
      </c>
    </row>
    <row r="23" spans="2:22" ht="20.149999999999999" customHeight="1" x14ac:dyDescent="0.45">
      <c r="B23" s="395" t="s">
        <v>2182</v>
      </c>
      <c r="C23" s="212" t="str">
        <f>VLOOKUP(B23,'Sales Master'!A$3:B$530,2,0)</f>
        <v>P4010</v>
      </c>
      <c r="D23" s="461" t="str">
        <f>VLOOKUP(C23,'Sales Master'!B$3:D$530,2,)</f>
        <v>Lychee in Syrup 荔枝</v>
      </c>
      <c r="E23" s="461"/>
      <c r="F23" s="461"/>
      <c r="G23" s="76">
        <v>2</v>
      </c>
      <c r="H23" s="209" t="str">
        <f>VLOOKUP(C23,'Sales Master'!$B$3:$F$2413,5,0)</f>
        <v>12can/箱</v>
      </c>
      <c r="I23" s="563" t="str">
        <f>VLOOKUP(C23,'Sales Master'!$B$3:$E$2413,4,0)</f>
        <v>MiLi</v>
      </c>
      <c r="J23" s="563"/>
      <c r="K23" s="83">
        <f>VLOOKUP(C23,'Sales Master'!B$3:CQ$675,94,0)</f>
        <v>26</v>
      </c>
      <c r="L23" s="84">
        <f>K23*G23</f>
        <v>52</v>
      </c>
      <c r="M23" s="65"/>
      <c r="N23" s="145">
        <f>VLOOKUP(C23,'Sales Master'!$B$3:$DA$2272,104,0)</f>
        <v>20</v>
      </c>
      <c r="O23" s="145">
        <f>K23-N23</f>
        <v>6</v>
      </c>
      <c r="P23" s="145">
        <f>O23*G23</f>
        <v>12</v>
      </c>
    </row>
    <row r="24" spans="2:22" ht="20.149999999999999" customHeight="1" x14ac:dyDescent="0.45">
      <c r="B24" s="58" t="s">
        <v>2101</v>
      </c>
      <c r="C24" s="212" t="str">
        <f>VLOOKUP(B24,'Sales Master'!A$3:B$530,2,0)</f>
        <v>P4014</v>
      </c>
      <c r="D24" s="461" t="str">
        <f>VLOOKUP(C24,'Sales Master'!B$3:D$530,2,)</f>
        <v>Cream Corn 玉米浆</v>
      </c>
      <c r="E24" s="461"/>
      <c r="F24" s="461"/>
      <c r="G24" s="76">
        <v>1</v>
      </c>
      <c r="H24" s="209" t="str">
        <f>VLOOKUP(C24,'Sales Master'!$B$3:$F$2413,5,0)</f>
        <v>410 GM x 24/ Ctn箱</v>
      </c>
      <c r="I24" s="563" t="str">
        <f>VLOOKUP(C24,'Sales Master'!$B$3:$E$2413,4,0)</f>
        <v>Statue</v>
      </c>
      <c r="J24" s="563"/>
      <c r="K24" s="83">
        <f>VLOOKUP(C24,'Sales Master'!B$3:CQ$675,94,0)</f>
        <v>22</v>
      </c>
      <c r="L24" s="84">
        <f t="shared" ref="L24" si="3">K24*G24</f>
        <v>22</v>
      </c>
      <c r="M24" s="65"/>
      <c r="N24" s="145">
        <f>VLOOKUP(C24,'Sales Master'!$B$3:$DA$2272,104,0)</f>
        <v>18</v>
      </c>
      <c r="O24" s="145">
        <f t="shared" ref="O24" si="4">K24-N24</f>
        <v>4</v>
      </c>
      <c r="P24" s="145">
        <f t="shared" ref="P24" si="5">O24*G24</f>
        <v>4</v>
      </c>
    </row>
    <row r="25" spans="2:22" ht="20.149999999999999" customHeight="1" x14ac:dyDescent="0.45">
      <c r="B25" s="395" t="s">
        <v>2113</v>
      </c>
      <c r="C25" s="212" t="str">
        <f>VLOOKUP(B25,'Sales Master'!A$3:B$530,2,0)</f>
        <v>P6011</v>
      </c>
      <c r="D25" s="461" t="str">
        <f>VLOOKUP(C25,'Sales Master'!B$3:D$530,2,)</f>
        <v>Ginger 老姜</v>
      </c>
      <c r="E25" s="461"/>
      <c r="F25" s="461"/>
      <c r="G25" s="76">
        <v>1</v>
      </c>
      <c r="H25" s="209" t="str">
        <f>VLOOKUP(C25,'Sales Master'!$B$3:$F$2413,5,0)</f>
        <v>1 KG</v>
      </c>
      <c r="I25" s="563" t="str">
        <f>VLOOKUP(C25,'Sales Master'!$B$3:$E$2413,4,0)</f>
        <v>-</v>
      </c>
      <c r="J25" s="563"/>
      <c r="K25" s="83">
        <f>VLOOKUP(C25,'Sales Master'!B$3:CQ$675,94,0)</f>
        <v>5</v>
      </c>
      <c r="L25" s="84">
        <f t="shared" ref="L25" si="6">K25*G25</f>
        <v>5</v>
      </c>
      <c r="M25" s="65"/>
      <c r="N25" s="145">
        <f>VLOOKUP(C25,'Sales Master'!$B$3:$DA$2272,104,0)</f>
        <v>6</v>
      </c>
      <c r="O25" s="145">
        <f t="shared" ref="O25" si="7">K25-N25</f>
        <v>-1</v>
      </c>
      <c r="P25" s="145">
        <f t="shared" ref="P25" si="8">O25*G25</f>
        <v>-1</v>
      </c>
    </row>
    <row r="26" spans="2:22" ht="20.149999999999999" customHeight="1" x14ac:dyDescent="0.45">
      <c r="B26" s="58"/>
      <c r="C26" s="212"/>
      <c r="D26" s="461"/>
      <c r="E26" s="461"/>
      <c r="F26" s="461"/>
      <c r="G26" s="76"/>
      <c r="H26" s="209"/>
      <c r="I26" s="563"/>
      <c r="J26" s="563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58"/>
      <c r="C27" s="212"/>
      <c r="D27" s="461"/>
      <c r="E27" s="461"/>
      <c r="F27" s="461"/>
      <c r="G27" s="76"/>
      <c r="H27" s="209"/>
      <c r="I27" s="563"/>
      <c r="J27" s="563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61"/>
      <c r="E28" s="461"/>
      <c r="F28" s="461"/>
      <c r="G28" s="76"/>
      <c r="H28" s="209"/>
      <c r="I28" s="563"/>
      <c r="J28" s="563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212"/>
      <c r="D29" s="461"/>
      <c r="E29" s="461"/>
      <c r="F29" s="461"/>
      <c r="G29" s="76"/>
      <c r="H29" s="209"/>
      <c r="I29" s="563"/>
      <c r="J29" s="563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61"/>
      <c r="E30" s="461"/>
      <c r="F30" s="461"/>
      <c r="G30" s="76"/>
      <c r="H30" s="209"/>
      <c r="I30" s="563"/>
      <c r="J30" s="563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2"/>
      <c r="D31" s="461"/>
      <c r="E31" s="461"/>
      <c r="F31" s="461"/>
      <c r="G31" s="76"/>
      <c r="H31" s="209"/>
      <c r="I31" s="563"/>
      <c r="J31" s="563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2"/>
      <c r="D32" s="461"/>
      <c r="E32" s="461"/>
      <c r="F32" s="461"/>
      <c r="G32" s="76"/>
      <c r="H32" s="209"/>
      <c r="I32" s="563"/>
      <c r="J32" s="563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2"/>
      <c r="D33" s="461"/>
      <c r="E33" s="461"/>
      <c r="F33" s="461"/>
      <c r="G33" s="76"/>
      <c r="H33" s="209"/>
      <c r="I33" s="563"/>
      <c r="J33" s="563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SUM(L18:L34)</f>
        <v>204</v>
      </c>
      <c r="M35" s="63">
        <f>SUM(P18:P34)</f>
        <v>58.341666666666661</v>
      </c>
      <c r="N35" s="133">
        <f>M35/L35</f>
        <v>0.28598856209150325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204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18.36</v>
      </c>
    </row>
    <row r="39" spans="2:16" ht="20.149999999999999" customHeight="1" thickBot="1" x14ac:dyDescent="0.5">
      <c r="B39" s="10" t="s">
        <v>700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222.36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690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D32:F32"/>
    <mergeCell ref="D33:F33"/>
    <mergeCell ref="I29:J29"/>
    <mergeCell ref="I30:J30"/>
    <mergeCell ref="J37:K37"/>
    <mergeCell ref="D31:F31"/>
    <mergeCell ref="D29:F29"/>
    <mergeCell ref="D30:F30"/>
    <mergeCell ref="J39:K39"/>
    <mergeCell ref="J35:K35"/>
    <mergeCell ref="I31:J31"/>
    <mergeCell ref="I32:J32"/>
    <mergeCell ref="I33:J33"/>
    <mergeCell ref="I28:J28"/>
    <mergeCell ref="D20:F20"/>
    <mergeCell ref="I20:J20"/>
    <mergeCell ref="D26:F26"/>
    <mergeCell ref="D27:F27"/>
    <mergeCell ref="D28:F28"/>
    <mergeCell ref="I27:J27"/>
    <mergeCell ref="I24:J24"/>
    <mergeCell ref="D19:F19"/>
    <mergeCell ref="I26:J26"/>
    <mergeCell ref="I17:J17"/>
    <mergeCell ref="D18:F18"/>
    <mergeCell ref="I18:J18"/>
    <mergeCell ref="D23:F23"/>
    <mergeCell ref="I23:J23"/>
    <mergeCell ref="D17:F17"/>
    <mergeCell ref="I19:J19"/>
    <mergeCell ref="D21:F21"/>
    <mergeCell ref="I21:J21"/>
    <mergeCell ref="D25:F25"/>
    <mergeCell ref="I25:J25"/>
    <mergeCell ref="D22:F22"/>
    <mergeCell ref="I22:J22"/>
    <mergeCell ref="D24:F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3FFA-EF6F-4316-B134-02B4385100D8}">
  <sheetPr>
    <tabColor rgb="FF7030A0"/>
    <pageSetUpPr fitToPage="1"/>
  </sheetPr>
  <dimension ref="B1:V48"/>
  <sheetViews>
    <sheetView topLeftCell="A31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2155</v>
      </c>
      <c r="J10" s="24" t="s">
        <v>27</v>
      </c>
      <c r="K10" s="493">
        <v>202501142</v>
      </c>
      <c r="L10" s="494"/>
    </row>
    <row r="11" spans="2:14" ht="20.149999999999999" customHeight="1" x14ac:dyDescent="0.45">
      <c r="B11" s="477" t="s">
        <v>2156</v>
      </c>
      <c r="C11" s="478"/>
      <c r="D11" s="479"/>
      <c r="E11" s="25"/>
      <c r="F11" s="480" t="str">
        <f>VLOOKUP(H10,'Delivery Location'!A$4:N$460,2,0)</f>
        <v>Hill Street Coffee Shop- T3 Drinks 7                 65 Airport Boulevard, Level 3     Terminal 3 Departure Transit Area, Singapore 819663                                  Contact person: Ben 85108039</v>
      </c>
      <c r="G11" s="481"/>
      <c r="H11" s="482"/>
      <c r="J11" s="26" t="s">
        <v>9</v>
      </c>
      <c r="K11" s="495">
        <v>45664</v>
      </c>
      <c r="L11" s="496"/>
    </row>
    <row r="12" spans="2:14" ht="20.149999999999999" customHeight="1" x14ac:dyDescent="0.45">
      <c r="B12" s="488" t="s">
        <v>2065</v>
      </c>
      <c r="C12" s="449"/>
      <c r="D12" s="489"/>
      <c r="E12" s="25"/>
      <c r="F12" s="483"/>
      <c r="G12" s="484"/>
      <c r="H12" s="485"/>
      <c r="J12" s="26" t="s">
        <v>145</v>
      </c>
      <c r="K12" s="594" t="s">
        <v>2295</v>
      </c>
      <c r="L12" s="464"/>
    </row>
    <row r="13" spans="2:14" ht="20.149999999999999" customHeight="1" x14ac:dyDescent="0.45">
      <c r="B13" s="588" t="s">
        <v>2066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4" ht="20.149999999999999" customHeight="1" x14ac:dyDescent="0.45">
      <c r="B14" s="488" t="s">
        <v>2067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x14ac:dyDescent="0.45">
      <c r="B18" s="259" t="s">
        <v>2112</v>
      </c>
      <c r="C18" s="212" t="str">
        <f>VLOOKUP(B18,'Sales Master'!A$3:B$530,2,0)</f>
        <v>P3001B</v>
      </c>
      <c r="D18" s="461" t="str">
        <f>VLOOKUP(C18,'Sales Master'!B$3:D$530,2,)</f>
        <v>Atap Seeds in Syrup 亚嗒子</v>
      </c>
      <c r="E18" s="461"/>
      <c r="F18" s="461"/>
      <c r="G18" s="76">
        <v>1</v>
      </c>
      <c r="H18" s="209" t="str">
        <f>VLOOKUP(C18,'Sales Master'!$B$3:$F$2413,5,0)</f>
        <v>NW(1.6:0.6) 2.2kg/ Bag包</v>
      </c>
      <c r="I18" s="563" t="str">
        <f>VLOOKUP(C18,'Sales Master'!$B$3:$E$2413,4,0)</f>
        <v>DO!</v>
      </c>
      <c r="J18" s="563"/>
      <c r="K18" s="83">
        <f>VLOOKUP(C18,'Sales Master'!B$3:CQ$675,94,0)</f>
        <v>10.5</v>
      </c>
      <c r="L18" s="84">
        <f t="shared" ref="L18" si="0">K18*G18</f>
        <v>10.5</v>
      </c>
      <c r="M18" s="65"/>
      <c r="N18" s="145">
        <f>VLOOKUP(C18,'Sales Master'!$B$3:$DA$2272,104,0)</f>
        <v>7.3</v>
      </c>
      <c r="O18" s="145">
        <f t="shared" ref="O18" si="1">K18-N18</f>
        <v>3.2</v>
      </c>
      <c r="P18" s="145">
        <f t="shared" ref="P18" si="2">O18*G18</f>
        <v>3.2</v>
      </c>
      <c r="R18" s="19">
        <v>2</v>
      </c>
      <c r="S18" s="19" t="s">
        <v>34</v>
      </c>
      <c r="T18" s="19" t="s">
        <v>62</v>
      </c>
      <c r="V18" s="19">
        <v>6</v>
      </c>
    </row>
    <row r="19" spans="2:22" ht="20.149999999999999" customHeight="1" x14ac:dyDescent="0.45">
      <c r="B19" s="259" t="s">
        <v>2096</v>
      </c>
      <c r="C19" s="212" t="str">
        <f>VLOOKUP(B19,'Sales Master'!A$3:B$530,2,0)</f>
        <v>P3004A</v>
      </c>
      <c r="D19" s="461" t="str">
        <f>VLOOKUP(C19,'Sales Master'!B$3:D$530,2,)</f>
        <v>GingKo Nut (Peel off) 白果仁</v>
      </c>
      <c r="E19" s="461"/>
      <c r="F19" s="461"/>
      <c r="G19" s="76">
        <v>2</v>
      </c>
      <c r="H19" s="209" t="str">
        <f>VLOOKUP(C19,'Sales Master'!$B$3:$F$2413,5,0)</f>
        <v>1 KG (500 GM X 2)</v>
      </c>
      <c r="I19" s="563" t="str">
        <f>VLOOKUP(C19,'Sales Master'!$B$3:$E$2413,4,0)</f>
        <v>-</v>
      </c>
      <c r="J19" s="563"/>
      <c r="K19" s="83">
        <f>VLOOKUP(C19,'Sales Master'!B$3:CQ$675,94,0)</f>
        <v>4.5</v>
      </c>
      <c r="L19" s="84">
        <f>K19*G19</f>
        <v>9</v>
      </c>
      <c r="M19" s="65"/>
      <c r="N19" s="145">
        <f>VLOOKUP(C19,'Sales Master'!$B$3:$DA$2272,104,0)</f>
        <v>3</v>
      </c>
      <c r="O19" s="145">
        <f>K19-N19</f>
        <v>1.5</v>
      </c>
      <c r="P19" s="145">
        <f>O19*G19</f>
        <v>3</v>
      </c>
    </row>
    <row r="20" spans="2:22" ht="20.149999999999999" customHeight="1" x14ac:dyDescent="0.45">
      <c r="B20" s="259" t="s">
        <v>2097</v>
      </c>
      <c r="C20" s="212" t="str">
        <f>VLOOKUP(B20,'Sales Master'!A$3:B$530,2,0)</f>
        <v>P3006A</v>
      </c>
      <c r="D20" s="461" t="str">
        <f>VLOOKUP(C20,'Sales Master'!B$3:D$530,2,)</f>
        <v>Small Red Bean 小红豆</v>
      </c>
      <c r="E20" s="461"/>
      <c r="F20" s="461"/>
      <c r="G20" s="76">
        <v>1</v>
      </c>
      <c r="H20" s="209" t="str">
        <f>VLOOKUP(C20,'Sales Master'!$B$3:$F$2413,5,0)</f>
        <v>5 KG</v>
      </c>
      <c r="I20" s="563" t="str">
        <f>VLOOKUP(C20,'Sales Master'!$B$3:$E$2413,4,0)</f>
        <v>-</v>
      </c>
      <c r="J20" s="563"/>
      <c r="K20" s="83">
        <f>VLOOKUP(C20,'Sales Master'!B$3:CQ$675,94,0)</f>
        <v>17.5</v>
      </c>
      <c r="L20" s="84">
        <f>K20*G20</f>
        <v>17.5</v>
      </c>
      <c r="M20" s="65"/>
      <c r="N20" s="145">
        <f>VLOOKUP(C20,'Sales Master'!$B$3:$DA$2272,104,0)</f>
        <v>12.75</v>
      </c>
      <c r="O20" s="145">
        <f>K20-N20</f>
        <v>4.75</v>
      </c>
      <c r="P20" s="145">
        <f>O20*G20</f>
        <v>4.75</v>
      </c>
    </row>
    <row r="21" spans="2:22" ht="20.149999999999999" customHeight="1" x14ac:dyDescent="0.45">
      <c r="B21" s="259" t="s">
        <v>2116</v>
      </c>
      <c r="C21" s="212" t="str">
        <f>VLOOKUP(B21,'Sales Master'!A$3:B$530,2,0)</f>
        <v>P3019A</v>
      </c>
      <c r="D21" s="461" t="str">
        <f>VLOOKUP(C21,'Sales Master'!B$3:D$530,2,)</f>
        <v>Dried Longan 龙眼干</v>
      </c>
      <c r="E21" s="461"/>
      <c r="F21" s="461"/>
      <c r="G21" s="76">
        <v>3</v>
      </c>
      <c r="H21" s="209" t="str">
        <f>VLOOKUP(C21,'Sales Master'!$B$3:$F$2413,5,0)</f>
        <v>1 kg</v>
      </c>
      <c r="I21" s="563" t="str">
        <f>VLOOKUP(C21,'Sales Master'!$B$3:$E$2413,4,0)</f>
        <v>TL</v>
      </c>
      <c r="J21" s="563"/>
      <c r="K21" s="83">
        <f>VLOOKUP(C21,'Sales Master'!B$3:CQ$675,94,0)</f>
        <v>13</v>
      </c>
      <c r="L21" s="84">
        <f t="shared" ref="L21" si="3">K21*G21</f>
        <v>39</v>
      </c>
      <c r="M21" s="65"/>
      <c r="N21" s="145">
        <f>VLOOKUP(C21,'Sales Master'!$B$3:$DA$2272,104,0)</f>
        <v>8.8000000000000007</v>
      </c>
      <c r="O21" s="145">
        <f t="shared" ref="O21" si="4">K21-N21</f>
        <v>4.1999999999999993</v>
      </c>
      <c r="P21" s="145">
        <f t="shared" ref="P21" si="5">O21*G21</f>
        <v>12.599999999999998</v>
      </c>
    </row>
    <row r="22" spans="2:22" ht="20.149999999999999" customHeight="1" x14ac:dyDescent="0.45">
      <c r="B22" s="259" t="s">
        <v>2093</v>
      </c>
      <c r="C22" s="212" t="str">
        <f>VLOOKUP(B22,'Sales Master'!A$3:B$530,2,0)</f>
        <v>P3023</v>
      </c>
      <c r="D22" s="498" t="str">
        <f>VLOOKUP(C22,'Sales Master'!B$3:D$530,2,)</f>
        <v>Fungus黄 木耳朵</v>
      </c>
      <c r="E22" s="498"/>
      <c r="F22" s="498"/>
      <c r="G22" s="76">
        <v>1</v>
      </c>
      <c r="H22" s="209" t="str">
        <f>VLOOKUP(C22,'Sales Master'!$B$3:$F$2413,5,0)</f>
        <v>1 kg</v>
      </c>
      <c r="I22" s="563" t="str">
        <f>VLOOKUP(C22,'Sales Master'!$B$3:$E$2413,4,0)</f>
        <v>黄</v>
      </c>
      <c r="J22" s="563"/>
      <c r="K22" s="83">
        <f>VLOOKUP(C22,'Sales Master'!B$3:CQ$675,94,0)</f>
        <v>16</v>
      </c>
      <c r="L22" s="84">
        <f t="shared" ref="L22" si="6">K22*G22</f>
        <v>16</v>
      </c>
      <c r="M22" s="65"/>
      <c r="N22" s="145">
        <f>VLOOKUP(C22,'Sales Master'!$B$3:$DA$2272,104,0)</f>
        <v>11</v>
      </c>
      <c r="O22" s="145">
        <f t="shared" ref="O22" si="7">K22-N22</f>
        <v>5</v>
      </c>
      <c r="P22" s="145">
        <f t="shared" ref="P22" si="8">O22*G22</f>
        <v>5</v>
      </c>
    </row>
    <row r="23" spans="2:22" ht="20.149999999999999" customHeight="1" x14ac:dyDescent="0.45">
      <c r="B23" s="259" t="s">
        <v>2182</v>
      </c>
      <c r="C23" s="212" t="str">
        <f>VLOOKUP(B23,'Sales Master'!A$3:B$530,2,0)</f>
        <v>P4010</v>
      </c>
      <c r="D23" s="461" t="str">
        <f>VLOOKUP(C23,'Sales Master'!B$3:D$530,2,)</f>
        <v>Lychee in Syrup 荔枝</v>
      </c>
      <c r="E23" s="461"/>
      <c r="F23" s="461"/>
      <c r="G23" s="76">
        <v>4</v>
      </c>
      <c r="H23" s="209" t="str">
        <f>VLOOKUP(C23,'Sales Master'!$B$3:$F$2413,5,0)</f>
        <v>12can/箱</v>
      </c>
      <c r="I23" s="563" t="str">
        <f>VLOOKUP(C23,'Sales Master'!$B$3:$E$2413,4,0)</f>
        <v>MiLi</v>
      </c>
      <c r="J23" s="563"/>
      <c r="K23" s="83">
        <f>VLOOKUP(C23,'Sales Master'!B$3:CQ$675,94,0)</f>
        <v>26</v>
      </c>
      <c r="L23" s="84">
        <f>K23*G23</f>
        <v>104</v>
      </c>
      <c r="M23" s="65"/>
      <c r="N23" s="145">
        <f>VLOOKUP(C23,'Sales Master'!$B$3:$DA$2272,104,0)</f>
        <v>20</v>
      </c>
      <c r="O23" s="145">
        <f>K23-N23</f>
        <v>6</v>
      </c>
      <c r="P23" s="145">
        <f>O23*G23</f>
        <v>24</v>
      </c>
    </row>
    <row r="24" spans="2:22" ht="20.149999999999999" customHeight="1" x14ac:dyDescent="0.45">
      <c r="B24" s="362" t="s">
        <v>2101</v>
      </c>
      <c r="C24" s="212" t="str">
        <f>VLOOKUP(B24,'Sales Master'!A$3:B$530,2,0)</f>
        <v>P4014</v>
      </c>
      <c r="D24" s="461" t="str">
        <f>VLOOKUP(C24,'Sales Master'!B$3:D$530,2,)</f>
        <v>Cream Corn 玉米浆</v>
      </c>
      <c r="E24" s="461"/>
      <c r="F24" s="461"/>
      <c r="G24" s="76">
        <v>1</v>
      </c>
      <c r="H24" s="209" t="str">
        <f>VLOOKUP(C24,'Sales Master'!$B$3:$F$2413,5,0)</f>
        <v>410 GM x 24/ Ctn箱</v>
      </c>
      <c r="I24" s="563" t="str">
        <f>VLOOKUP(C24,'Sales Master'!$B$3:$E$2413,4,0)</f>
        <v>Statue</v>
      </c>
      <c r="J24" s="563"/>
      <c r="K24" s="83">
        <f>VLOOKUP(C24,'Sales Master'!B$3:CQ$675,94,0)</f>
        <v>22</v>
      </c>
      <c r="L24" s="84">
        <f>K24*G24</f>
        <v>22</v>
      </c>
      <c r="M24" s="65"/>
      <c r="N24" s="145">
        <f>VLOOKUP(C24,'Sales Master'!$B$3:$DA$2272,104,0)</f>
        <v>18</v>
      </c>
      <c r="O24" s="145">
        <f>K24-N24</f>
        <v>4</v>
      </c>
      <c r="P24" s="145">
        <f>O24*G24</f>
        <v>4</v>
      </c>
    </row>
    <row r="25" spans="2:22" ht="20.149999999999999" customHeight="1" x14ac:dyDescent="0.45">
      <c r="B25" s="362" t="s">
        <v>2103</v>
      </c>
      <c r="C25" s="212" t="str">
        <f>VLOOKUP(B25,'Sales Master'!A$3:B$530,2,0)</f>
        <v>P5002A</v>
      </c>
      <c r="D25" s="461" t="str">
        <f>VLOOKUP(C25,'Sales Master'!B$3:D$530,2,)</f>
        <v>Brown Sugar 黑糖</v>
      </c>
      <c r="E25" s="461"/>
      <c r="F25" s="461"/>
      <c r="G25" s="76">
        <v>1</v>
      </c>
      <c r="H25" s="209" t="str">
        <f>VLOOKUP(C25,'Sales Master'!$B$3:$F$2413,5,0)</f>
        <v>6 KG</v>
      </c>
      <c r="I25" s="563" t="str">
        <f>VLOOKUP(C25,'Sales Master'!$B$3:$E$2413,4,0)</f>
        <v>Star</v>
      </c>
      <c r="J25" s="563"/>
      <c r="K25" s="83">
        <f>VLOOKUP(C25,'Sales Master'!B$3:CQ$675,94,0)</f>
        <v>16.5</v>
      </c>
      <c r="L25" s="84">
        <f t="shared" ref="L25:L26" si="9">K25*G25</f>
        <v>16.5</v>
      </c>
      <c r="M25" s="65"/>
      <c r="N25" s="145">
        <f>VLOOKUP(C25,'Sales Master'!$B$3:$DA$2272,104,0)</f>
        <v>12.5</v>
      </c>
      <c r="O25" s="145">
        <f t="shared" ref="O25:O26" si="10">K25-N25</f>
        <v>4</v>
      </c>
      <c r="P25" s="145">
        <f t="shared" ref="P25:P26" si="11">O25*G25</f>
        <v>4</v>
      </c>
    </row>
    <row r="26" spans="2:22" ht="20.149999999999999" customHeight="1" x14ac:dyDescent="0.45">
      <c r="B26" s="362" t="s">
        <v>2111</v>
      </c>
      <c r="C26" s="212" t="str">
        <f>VLOOKUP(B26,'Sales Master'!A$3:B$530,2,0)</f>
        <v>P5008</v>
      </c>
      <c r="D26" s="461" t="str">
        <f>VLOOKUP(C26,'Sales Master'!B$3:D$530,2,)</f>
        <v>Coconut Sugar 椰糖</v>
      </c>
      <c r="E26" s="461"/>
      <c r="F26" s="461"/>
      <c r="G26" s="76">
        <v>1</v>
      </c>
      <c r="H26" s="209" t="str">
        <f>VLOOKUP(C26,'Sales Master'!$B$3:$F$2413,5,0)</f>
        <v>10 KG/ ctn</v>
      </c>
      <c r="I26" s="563" t="str">
        <f>VLOOKUP(C26,'Sales Master'!$B$3:$E$2413,4,0)</f>
        <v>BL BRAND</v>
      </c>
      <c r="J26" s="563"/>
      <c r="K26" s="83">
        <f>VLOOKUP(C26,'Sales Master'!B$3:CQ$675,94,0)</f>
        <v>37</v>
      </c>
      <c r="L26" s="84">
        <f t="shared" si="9"/>
        <v>37</v>
      </c>
      <c r="M26" s="65"/>
      <c r="N26" s="145">
        <f>VLOOKUP(C26,'Sales Master'!$B$3:$DA$2272,104,0)</f>
        <v>28</v>
      </c>
      <c r="O26" s="145">
        <f t="shared" si="10"/>
        <v>9</v>
      </c>
      <c r="P26" s="145">
        <f t="shared" si="11"/>
        <v>9</v>
      </c>
    </row>
    <row r="27" spans="2:22" ht="20.149999999999999" customHeight="1" x14ac:dyDescent="0.45">
      <c r="B27" s="259" t="s">
        <v>2113</v>
      </c>
      <c r="C27" s="212" t="str">
        <f>VLOOKUP(B27,'Sales Master'!A$3:B$530,2,0)</f>
        <v>P6011</v>
      </c>
      <c r="D27" s="461" t="str">
        <f>VLOOKUP(C27,'Sales Master'!B$3:D$530,2,)</f>
        <v>Ginger 老姜</v>
      </c>
      <c r="E27" s="461"/>
      <c r="F27" s="461"/>
      <c r="G27" s="76">
        <v>2</v>
      </c>
      <c r="H27" s="209" t="str">
        <f>VLOOKUP(C27,'Sales Master'!$B$3:$F$2413,5,0)</f>
        <v>1 KG</v>
      </c>
      <c r="I27" s="563" t="str">
        <f>VLOOKUP(C27,'Sales Master'!$B$3:$E$2413,4,0)</f>
        <v>-</v>
      </c>
      <c r="J27" s="563"/>
      <c r="K27" s="83">
        <f>VLOOKUP(C27,'Sales Master'!B$3:CQ$675,94,0)</f>
        <v>5</v>
      </c>
      <c r="L27" s="84">
        <f>K27*G27</f>
        <v>10</v>
      </c>
      <c r="M27" s="65"/>
      <c r="N27" s="145">
        <f>VLOOKUP(C27,'Sales Master'!$B$3:$DA$2272,104,0)</f>
        <v>6</v>
      </c>
      <c r="O27" s="145">
        <f>K27-N27</f>
        <v>-1</v>
      </c>
      <c r="P27" s="145">
        <f>O27*G27</f>
        <v>-2</v>
      </c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209"/>
      <c r="I28" s="563"/>
      <c r="J28" s="563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209"/>
      <c r="I29" s="563"/>
      <c r="J29" s="563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362"/>
      <c r="C30" s="212"/>
      <c r="D30" s="461"/>
      <c r="E30" s="461"/>
      <c r="F30" s="461"/>
      <c r="G30" s="76"/>
      <c r="H30" s="209"/>
      <c r="I30" s="563"/>
      <c r="J30" s="563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259"/>
      <c r="C31" s="212"/>
      <c r="D31" s="461"/>
      <c r="E31" s="461"/>
      <c r="F31" s="461"/>
      <c r="G31" s="76"/>
      <c r="H31" s="209"/>
      <c r="I31" s="563"/>
      <c r="J31" s="563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259"/>
      <c r="C32" s="212"/>
      <c r="D32" s="461"/>
      <c r="E32" s="461"/>
      <c r="F32" s="461"/>
      <c r="G32" s="76"/>
      <c r="H32" s="209"/>
      <c r="I32" s="563"/>
      <c r="J32" s="563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259"/>
      <c r="C33" s="212"/>
      <c r="D33" s="461"/>
      <c r="E33" s="461"/>
      <c r="F33" s="461"/>
      <c r="G33" s="76"/>
      <c r="H33" s="209"/>
      <c r="I33" s="563"/>
      <c r="J33" s="563"/>
      <c r="K33" s="83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212"/>
      <c r="G34" s="76"/>
      <c r="H34" s="209"/>
      <c r="I34" s="183"/>
      <c r="J34" s="183"/>
      <c r="K34" s="83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SUM(L18:L35)</f>
        <v>281.5</v>
      </c>
      <c r="M36" s="63">
        <f>SUM(P18:P35)</f>
        <v>67.55</v>
      </c>
      <c r="N36" s="133">
        <f>M36/L36</f>
        <v>0.23996447602131438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281.5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25.334999999999997</v>
      </c>
    </row>
    <row r="40" spans="2:16" ht="20.149999999999999" customHeight="1" thickBot="1" x14ac:dyDescent="0.5">
      <c r="B40" s="10" t="s">
        <v>700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306.83499999999998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690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D32:F32"/>
    <mergeCell ref="D29:F29"/>
    <mergeCell ref="D31:F31"/>
    <mergeCell ref="I19:J19"/>
    <mergeCell ref="I28:J28"/>
    <mergeCell ref="I27:J27"/>
    <mergeCell ref="D28:F28"/>
    <mergeCell ref="D27:F27"/>
    <mergeCell ref="J38:K38"/>
    <mergeCell ref="J40:K40"/>
    <mergeCell ref="J36:K36"/>
    <mergeCell ref="D21:F21"/>
    <mergeCell ref="I21:J21"/>
    <mergeCell ref="D30:F30"/>
    <mergeCell ref="I30:J30"/>
    <mergeCell ref="D25:F25"/>
    <mergeCell ref="I25:J25"/>
    <mergeCell ref="D23:F23"/>
    <mergeCell ref="I23:J23"/>
    <mergeCell ref="I33:J33"/>
    <mergeCell ref="I32:J32"/>
    <mergeCell ref="I29:J29"/>
    <mergeCell ref="I31:J31"/>
    <mergeCell ref="D33:F33"/>
    <mergeCell ref="D17:F17"/>
    <mergeCell ref="I17:J17"/>
    <mergeCell ref="D18:F18"/>
    <mergeCell ref="I18:J18"/>
    <mergeCell ref="D26:F26"/>
    <mergeCell ref="I26:J26"/>
    <mergeCell ref="D24:F24"/>
    <mergeCell ref="I24:J24"/>
    <mergeCell ref="D22:F22"/>
    <mergeCell ref="I22:J22"/>
    <mergeCell ref="D19:F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1" right="0.25" top="0" bottom="0" header="0" footer="0"/>
  <pageSetup paperSize="9" scale="72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FDDB-78CF-4004-994A-A717CD527D50}">
  <sheetPr>
    <tabColor rgb="FF7030A0"/>
    <pageSetUpPr fitToPage="1"/>
  </sheetPr>
  <dimension ref="B1:V50"/>
  <sheetViews>
    <sheetView topLeftCell="A25" workbookViewId="0">
      <selection activeCell="G20" sqref="G2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2160</v>
      </c>
      <c r="J10" s="24" t="s">
        <v>27</v>
      </c>
      <c r="K10" s="493">
        <v>202501203</v>
      </c>
      <c r="L10" s="494"/>
    </row>
    <row r="11" spans="2:14" ht="20.149999999999999" customHeight="1" x14ac:dyDescent="0.45">
      <c r="B11" s="477" t="s">
        <v>2168</v>
      </c>
      <c r="C11" s="478"/>
      <c r="D11" s="479"/>
      <c r="E11" s="25"/>
      <c r="F11" s="480" t="str">
        <f>VLOOKUP(H10,'Delivery Location'!A$4:N$460,2,0)</f>
        <v>Makan Street                                                  2 Jurong East Street 21, #03-55           IMM Building, Singapore 609601</v>
      </c>
      <c r="G11" s="481"/>
      <c r="H11" s="482"/>
      <c r="J11" s="26" t="s">
        <v>9</v>
      </c>
      <c r="K11" s="495">
        <v>45666</v>
      </c>
      <c r="L11" s="496"/>
    </row>
    <row r="12" spans="2:14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594" t="s">
        <v>34</v>
      </c>
      <c r="L12" s="464"/>
    </row>
    <row r="13" spans="2:14" ht="20.149999999999999" customHeight="1" x14ac:dyDescent="0.45">
      <c r="B13" s="488" t="s">
        <v>2162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93" t="s">
        <v>883</v>
      </c>
    </row>
    <row r="14" spans="2:14" ht="20.149999999999999" customHeight="1" x14ac:dyDescent="0.45">
      <c r="B14" s="588" t="s">
        <v>2163</v>
      </c>
      <c r="C14" s="589"/>
      <c r="D14" s="590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95" t="s">
        <v>2164</v>
      </c>
      <c r="C15" s="596"/>
      <c r="D15" s="59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" customHeight="1" x14ac:dyDescent="0.45">
      <c r="B18" s="416"/>
      <c r="C18" s="212" t="s">
        <v>727</v>
      </c>
      <c r="D18" s="461" t="str">
        <f>VLOOKUP(C18,'Sales Master'!B$3:D$530,2,)</f>
        <v>Mango Puree 芒果酱</v>
      </c>
      <c r="E18" s="461"/>
      <c r="F18" s="461"/>
      <c r="G18" s="76">
        <v>5</v>
      </c>
      <c r="H18" s="209" t="str">
        <f>VLOOKUP(C18,'Sales Master'!$B$3:$F$2413,5,0)</f>
        <v>1 KG/ Box盒</v>
      </c>
      <c r="I18" s="563" t="str">
        <f>VLOOKUP(C18,'Sales Master'!$B$3:$E$2413,4,0)</f>
        <v>DO!</v>
      </c>
      <c r="J18" s="563"/>
      <c r="K18" s="83">
        <f>VLOOKUP(C18,'Sales Master'!B$3:CR$675,95,0)</f>
        <v>9</v>
      </c>
      <c r="L18" s="84">
        <f t="shared" ref="L18" si="0">K18*G18</f>
        <v>45</v>
      </c>
      <c r="M18" s="65"/>
      <c r="N18" s="19" t="s">
        <v>1524</v>
      </c>
      <c r="V18" s="19">
        <v>6</v>
      </c>
    </row>
    <row r="19" spans="2:22" ht="20.149999999999999" customHeight="1" x14ac:dyDescent="0.45">
      <c r="B19" s="259"/>
      <c r="C19" s="212" t="s">
        <v>2222</v>
      </c>
      <c r="D19" s="461" t="str">
        <f>VLOOKUP(C19,'Sales Master'!B$3:D$530,2,)</f>
        <v>Coconut Sugar Syrup 椰糖浆</v>
      </c>
      <c r="E19" s="461"/>
      <c r="F19" s="461"/>
      <c r="G19" s="76">
        <v>2</v>
      </c>
      <c r="H19" s="209" t="str">
        <f>VLOOKUP(C19,'Sales Master'!$B$3:$F$2413,5,0)</f>
        <v>4 KG/ Btl支</v>
      </c>
      <c r="I19" s="563" t="str">
        <f>VLOOKUP(C19,'Sales Master'!$B$3:$E$2413,4,0)</f>
        <v>DO!</v>
      </c>
      <c r="J19" s="563"/>
      <c r="K19" s="83">
        <f>VLOOKUP(C19,'Sales Master'!B$3:CR$675,95,0)</f>
        <v>19</v>
      </c>
      <c r="L19" s="84">
        <f t="shared" ref="L19:L23" si="1">K19*G19</f>
        <v>38</v>
      </c>
      <c r="M19" s="65"/>
    </row>
    <row r="20" spans="2:22" ht="20.149999999999999" customHeight="1" x14ac:dyDescent="0.45">
      <c r="B20" s="259"/>
      <c r="C20" s="212" t="s">
        <v>1524</v>
      </c>
      <c r="D20" s="598" t="str">
        <f>VLOOKUP(C20,'Sales Master'!B$3:D$530,2,)</f>
        <v>Split Green Mung Bean (Steamed)  豆爽 (蒸)</v>
      </c>
      <c r="E20" s="598"/>
      <c r="F20" s="598"/>
      <c r="G20" s="76">
        <v>10</v>
      </c>
      <c r="H20" s="209" t="str">
        <f>VLOOKUP(C20,'Sales Master'!$B$3:$F$2413,5,0)</f>
        <v>1 KG</v>
      </c>
      <c r="I20" s="563" t="str">
        <f>VLOOKUP(C20,'Sales Master'!$B$3:$E$2413,4,0)</f>
        <v>DO!</v>
      </c>
      <c r="J20" s="563"/>
      <c r="K20" s="83">
        <f>VLOOKUP(C20,'Sales Master'!B$3:CR$675,95,0)</f>
        <v>4.8</v>
      </c>
      <c r="L20" s="84">
        <f t="shared" si="1"/>
        <v>48</v>
      </c>
      <c r="M20" s="65"/>
    </row>
    <row r="21" spans="2:22" ht="20.149999999999999" customHeight="1" x14ac:dyDescent="0.45">
      <c r="B21" s="259"/>
      <c r="C21" s="212" t="s">
        <v>831</v>
      </c>
      <c r="D21" s="461" t="str">
        <f>VLOOKUP(C21,'Sales Master'!B$3:D$530,2,)</f>
        <v>Chin Chow  仙草</v>
      </c>
      <c r="E21" s="461"/>
      <c r="F21" s="461"/>
      <c r="G21" s="76">
        <v>5</v>
      </c>
      <c r="H21" s="209" t="str">
        <f>VLOOKUP(C21,'Sales Master'!$B$3:$F$2413,5,0)</f>
        <v>4 KG/ Pkt包</v>
      </c>
      <c r="I21" s="563" t="str">
        <f>VLOOKUP(C21,'Sales Master'!$B$3:$E$2413,4,0)</f>
        <v>TSM</v>
      </c>
      <c r="J21" s="563"/>
      <c r="K21" s="83">
        <f>VLOOKUP(C21,'Sales Master'!B$3:CR$675,95,0)</f>
        <v>6</v>
      </c>
      <c r="L21" s="84">
        <f>K21*G21</f>
        <v>30</v>
      </c>
      <c r="M21" s="65"/>
    </row>
    <row r="22" spans="2:22" ht="20.149999999999999" customHeight="1" x14ac:dyDescent="0.45">
      <c r="B22" s="259"/>
      <c r="C22" s="212" t="s">
        <v>841</v>
      </c>
      <c r="D22" s="461" t="str">
        <f>VLOOKUP(C22,'Sales Master'!B$3:D$530,2,)</f>
        <v>Small Red Bean 小红豆</v>
      </c>
      <c r="E22" s="461"/>
      <c r="F22" s="461"/>
      <c r="G22" s="76">
        <v>1</v>
      </c>
      <c r="H22" s="209" t="str">
        <f>VLOOKUP(C22,'Sales Master'!$B$3:$F$2413,5,0)</f>
        <v>5 KG</v>
      </c>
      <c r="I22" s="563" t="str">
        <f>VLOOKUP(C22,'Sales Master'!$B$3:$E$2413,4,0)</f>
        <v>-</v>
      </c>
      <c r="J22" s="563"/>
      <c r="K22" s="83">
        <f>VLOOKUP(C22,'Sales Master'!B$3:CR$675,95,0)</f>
        <v>17.5</v>
      </c>
      <c r="L22" s="84">
        <f t="shared" si="1"/>
        <v>17.5</v>
      </c>
      <c r="M22" s="65"/>
    </row>
    <row r="23" spans="2:22" ht="20.149999999999999" customHeight="1" x14ac:dyDescent="0.45">
      <c r="B23" s="259"/>
      <c r="C23" s="212" t="s">
        <v>849</v>
      </c>
      <c r="D23" s="461" t="str">
        <f>VLOOKUP(C23,'Sales Master'!B$3:D$530,2,)</f>
        <v>Green Bean 绿豆</v>
      </c>
      <c r="E23" s="461"/>
      <c r="F23" s="461"/>
      <c r="G23" s="76">
        <v>1</v>
      </c>
      <c r="H23" s="209" t="str">
        <f>VLOOKUP(C23,'Sales Master'!$B$3:$F$2413,5,0)</f>
        <v>5 KG</v>
      </c>
      <c r="I23" s="563" t="str">
        <f>VLOOKUP(C23,'Sales Master'!$B$3:$E$2413,4,0)</f>
        <v>-</v>
      </c>
      <c r="J23" s="563"/>
      <c r="K23" s="83">
        <f>VLOOKUP(C23,'Sales Master'!B$3:CR$675,95,0)</f>
        <v>14</v>
      </c>
      <c r="L23" s="84">
        <f t="shared" si="1"/>
        <v>14</v>
      </c>
      <c r="M23" s="65"/>
    </row>
    <row r="24" spans="2:22" ht="20.149999999999999" customHeight="1" x14ac:dyDescent="0.45">
      <c r="B24" s="259"/>
      <c r="C24" s="212" t="s">
        <v>861</v>
      </c>
      <c r="D24" s="461" t="str">
        <f>VLOOKUP(C24,'Sales Master'!B$3:D$530,2,)</f>
        <v>Black Glutinous Rice 黑糯米</v>
      </c>
      <c r="E24" s="461"/>
      <c r="F24" s="461"/>
      <c r="G24" s="76">
        <v>1</v>
      </c>
      <c r="H24" s="209" t="str">
        <f>VLOOKUP(C24,'Sales Master'!$B$3:$F$2413,5,0)</f>
        <v>5 KGS</v>
      </c>
      <c r="I24" s="563" t="str">
        <f>VLOOKUP(C24,'Sales Master'!$B$3:$E$2413,4,0)</f>
        <v>-</v>
      </c>
      <c r="J24" s="563"/>
      <c r="K24" s="83">
        <f>VLOOKUP(C24,'Sales Master'!B$3:CR$675,95,0)</f>
        <v>18</v>
      </c>
      <c r="L24" s="84">
        <f t="shared" ref="L24:L25" si="2">K24*G24</f>
        <v>18</v>
      </c>
      <c r="M24" s="65"/>
    </row>
    <row r="25" spans="2:22" ht="20.149999999999999" customHeight="1" x14ac:dyDescent="0.45">
      <c r="B25" s="259"/>
      <c r="C25" s="212" t="s">
        <v>870</v>
      </c>
      <c r="D25" s="461" t="str">
        <f>VLOOKUP(C25,'Sales Master'!B$3:D$530,2,)</f>
        <v>Pearl Barley 薏米</v>
      </c>
      <c r="E25" s="461"/>
      <c r="F25" s="461"/>
      <c r="G25" s="76">
        <v>1</v>
      </c>
      <c r="H25" s="209" t="str">
        <f>VLOOKUP(C25,'Sales Master'!$B$3:$F$2413,5,0)</f>
        <v>5 KG</v>
      </c>
      <c r="I25" s="563" t="str">
        <f>VLOOKUP(C25,'Sales Master'!$B$3:$E$2413,4,0)</f>
        <v>-</v>
      </c>
      <c r="J25" s="563"/>
      <c r="K25" s="83">
        <f>VLOOKUP(C25,'Sales Master'!B$3:CR$675,95,0)</f>
        <v>11</v>
      </c>
      <c r="L25" s="84">
        <f t="shared" si="2"/>
        <v>11</v>
      </c>
      <c r="M25" s="65"/>
    </row>
    <row r="26" spans="2:22" ht="20.149999999999999" customHeight="1" x14ac:dyDescent="0.45">
      <c r="B26" s="259"/>
      <c r="C26" s="212" t="s">
        <v>886</v>
      </c>
      <c r="D26" s="461" t="str">
        <f>VLOOKUP(C26,'Sales Master'!B$3:D$530,2,)</f>
        <v>Fungus黄 木耳朵</v>
      </c>
      <c r="E26" s="461"/>
      <c r="F26" s="461"/>
      <c r="G26" s="76">
        <v>1</v>
      </c>
      <c r="H26" s="209" t="str">
        <f>VLOOKUP(C26,'Sales Master'!$B$3:$F$2413,5,0)</f>
        <v>1 kg</v>
      </c>
      <c r="I26" s="563" t="str">
        <f>VLOOKUP(C26,'Sales Master'!$B$3:$E$2413,4,0)</f>
        <v>黄</v>
      </c>
      <c r="J26" s="563"/>
      <c r="K26" s="83">
        <f>VLOOKUP(C26,'Sales Master'!B$3:CR$675,95,0)</f>
        <v>18</v>
      </c>
      <c r="L26" s="84">
        <f t="shared" ref="L26:L31" si="3">K26*G26</f>
        <v>18</v>
      </c>
      <c r="M26" s="65"/>
    </row>
    <row r="27" spans="2:22" ht="20.149999999999999" customHeight="1" x14ac:dyDescent="0.45">
      <c r="B27" s="259"/>
      <c r="C27" s="212" t="s">
        <v>980</v>
      </c>
      <c r="D27" s="461" t="str">
        <f>VLOOKUP(C27,'Sales Master'!B$3:D$530,2,)</f>
        <v>GingKo Nut 白果罐</v>
      </c>
      <c r="E27" s="461"/>
      <c r="F27" s="461"/>
      <c r="G27" s="76">
        <v>1</v>
      </c>
      <c r="H27" s="209" t="str">
        <f>VLOOKUP(C27,'Sales Master'!$B$3:$F$2413,5,0)</f>
        <v>397 GM x 24/ Ctn箱</v>
      </c>
      <c r="I27" s="563" t="str">
        <f>VLOOKUP(C27,'Sales Master'!$B$3:$E$2413,4,0)</f>
        <v>MiLi</v>
      </c>
      <c r="J27" s="563"/>
      <c r="K27" s="83">
        <f>VLOOKUP(C27,'Sales Master'!B$3:CR$675,95,0)</f>
        <v>26</v>
      </c>
      <c r="L27" s="84">
        <f t="shared" si="3"/>
        <v>26</v>
      </c>
      <c r="M27" s="65"/>
    </row>
    <row r="28" spans="2:22" ht="20.149999999999999" customHeight="1" x14ac:dyDescent="0.45">
      <c r="B28" s="259"/>
      <c r="C28" s="212" t="s">
        <v>2258</v>
      </c>
      <c r="D28" s="461" t="str">
        <f>VLOOKUP(C28,'Sales Master'!B$3:D$530,2,)</f>
        <v>Longan in Syrup 龙眼</v>
      </c>
      <c r="E28" s="461"/>
      <c r="F28" s="461"/>
      <c r="G28" s="76">
        <v>1</v>
      </c>
      <c r="H28" s="209" t="str">
        <f>VLOOKUP(C28,'Sales Master'!$B$3:$F$2413,5,0)</f>
        <v>(565gm x 12)/ Ctn箱</v>
      </c>
      <c r="I28" s="563" t="str">
        <f>VLOOKUP(C28,'Sales Master'!$B$3:$E$2413,4,0)</f>
        <v>GoldenBoy</v>
      </c>
      <c r="J28" s="563"/>
      <c r="K28" s="83">
        <f>VLOOKUP(C28,'Sales Master'!B$3:CR$675,95,0)</f>
        <v>50</v>
      </c>
      <c r="L28" s="84">
        <f t="shared" si="3"/>
        <v>50</v>
      </c>
      <c r="M28" s="65"/>
    </row>
    <row r="29" spans="2:22" ht="20.149999999999999" customHeight="1" x14ac:dyDescent="0.45">
      <c r="B29" s="259"/>
      <c r="C29" s="212" t="s">
        <v>1885</v>
      </c>
      <c r="D29" s="461" t="str">
        <f>VLOOKUP(C29,'Sales Master'!B$3:D$530,2,)</f>
        <v>Tapioca木薯</v>
      </c>
      <c r="E29" s="461"/>
      <c r="F29" s="461"/>
      <c r="G29" s="76">
        <v>2</v>
      </c>
      <c r="H29" s="209" t="str">
        <f>VLOOKUP(C29,'Sales Master'!$B$3:$F$2413,5,0)</f>
        <v>5 KGS</v>
      </c>
      <c r="I29" s="563" t="str">
        <f>VLOOKUP(C29,'Sales Master'!$B$3:$E$2413,4,0)</f>
        <v>-</v>
      </c>
      <c r="J29" s="563"/>
      <c r="K29" s="83">
        <f>VLOOKUP(C29,'Sales Master'!B$3:CR$675,95,0)</f>
        <v>11</v>
      </c>
      <c r="L29" s="84">
        <f t="shared" si="3"/>
        <v>22</v>
      </c>
      <c r="M29" s="65"/>
    </row>
    <row r="30" spans="2:22" ht="20.149999999999999" customHeight="1" x14ac:dyDescent="0.45">
      <c r="B30" s="259"/>
      <c r="C30" s="212" t="s">
        <v>2060</v>
      </c>
      <c r="D30" s="492" t="str">
        <f>VLOOKUP(C30,'Sales Master'!B$3:D$530,2,)</f>
        <v>Skinless Sweet Potato 去皮番薯</v>
      </c>
      <c r="E30" s="492"/>
      <c r="F30" s="492"/>
      <c r="G30" s="76">
        <v>5</v>
      </c>
      <c r="H30" s="209" t="str">
        <f>VLOOKUP(C30,'Sales Master'!$B$3:$F$2413,5,0)</f>
        <v>1 KG</v>
      </c>
      <c r="I30" s="563" t="str">
        <f>VLOOKUP(C30,'Sales Master'!$B$3:$E$2413,4,0)</f>
        <v>Malaysia</v>
      </c>
      <c r="J30" s="563"/>
      <c r="K30" s="83">
        <f>VLOOKUP(C30,'Sales Master'!B$3:CR$675,95,0)</f>
        <v>3.8</v>
      </c>
      <c r="L30" s="84">
        <f t="shared" si="3"/>
        <v>19</v>
      </c>
      <c r="M30" s="65"/>
    </row>
    <row r="31" spans="2:22" ht="20.149999999999999" customHeight="1" x14ac:dyDescent="0.45">
      <c r="B31" s="259"/>
      <c r="C31" s="212" t="s">
        <v>2197</v>
      </c>
      <c r="D31" s="461" t="str">
        <f>VLOOKUP(C31,'Sales Master'!B$3:D$530,2,)</f>
        <v>Yam Skinless 去皮芋头</v>
      </c>
      <c r="E31" s="461"/>
      <c r="F31" s="461"/>
      <c r="G31" s="76">
        <v>5.6</v>
      </c>
      <c r="H31" s="209" t="str">
        <f>VLOOKUP(C31,'Sales Master'!$B$3:$F$2413,5,0)</f>
        <v>1 KG</v>
      </c>
      <c r="I31" s="563" t="str">
        <f>VLOOKUP(C31,'Sales Master'!$B$3:$E$2413,4,0)</f>
        <v>Malaysia</v>
      </c>
      <c r="J31" s="563"/>
      <c r="K31" s="83">
        <f>VLOOKUP(C31,'Sales Master'!B$3:CR$675,95,0)</f>
        <v>5</v>
      </c>
      <c r="L31" s="84">
        <f t="shared" si="3"/>
        <v>28</v>
      </c>
      <c r="M31" s="65"/>
    </row>
    <row r="32" spans="2:22" ht="20.149999999999999" customHeight="1" x14ac:dyDescent="0.45">
      <c r="B32" s="58"/>
      <c r="C32" s="212"/>
      <c r="D32" s="461"/>
      <c r="E32" s="461"/>
      <c r="F32" s="461"/>
      <c r="G32" s="76"/>
      <c r="H32" s="209"/>
      <c r="I32" s="563"/>
      <c r="J32" s="563"/>
      <c r="K32" s="83"/>
      <c r="L32" s="84"/>
      <c r="M32" s="65"/>
    </row>
    <row r="33" spans="2:13" ht="20.149999999999999" customHeight="1" x14ac:dyDescent="0.45">
      <c r="B33" s="259"/>
      <c r="C33" s="212"/>
      <c r="D33" s="461"/>
      <c r="E33" s="461"/>
      <c r="F33" s="461"/>
      <c r="G33" s="76"/>
      <c r="H33" s="209"/>
      <c r="I33" s="563"/>
      <c r="J33" s="563"/>
      <c r="K33" s="83"/>
      <c r="L33" s="84"/>
      <c r="M33" s="65"/>
    </row>
    <row r="34" spans="2:13" ht="20.149999999999999" customHeight="1" x14ac:dyDescent="0.45">
      <c r="B34" s="259"/>
      <c r="C34" s="212"/>
      <c r="D34" s="518"/>
      <c r="E34" s="518"/>
      <c r="F34" s="518"/>
      <c r="G34" s="76"/>
      <c r="H34" s="209"/>
      <c r="I34" s="563"/>
      <c r="J34" s="563"/>
      <c r="K34" s="83"/>
      <c r="L34" s="84"/>
      <c r="M34" s="65"/>
    </row>
    <row r="35" spans="2:13" ht="20.149999999999999" customHeight="1" x14ac:dyDescent="0.45">
      <c r="B35" s="58"/>
      <c r="C35" s="212"/>
      <c r="G35" s="76"/>
      <c r="H35" s="209"/>
      <c r="I35" s="183"/>
      <c r="J35" s="183"/>
      <c r="K35" s="83"/>
      <c r="L35" s="84"/>
      <c r="M35" s="65"/>
    </row>
    <row r="36" spans="2:13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</row>
    <row r="37" spans="2:13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55" t="s">
        <v>13</v>
      </c>
      <c r="K38" s="456"/>
      <c r="L38" s="38">
        <f>SUM(L18:L37)</f>
        <v>384.5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57" t="s">
        <v>19</v>
      </c>
      <c r="K40" s="458"/>
      <c r="L40" s="41">
        <f>L38-L39</f>
        <v>384.5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34.604999999999997</v>
      </c>
    </row>
    <row r="42" spans="2:13" ht="20.149999999999999" customHeight="1" thickBot="1" x14ac:dyDescent="0.5">
      <c r="B42" s="10" t="s">
        <v>700</v>
      </c>
      <c r="C42" s="6"/>
      <c r="D42" s="6"/>
      <c r="E42" s="6"/>
      <c r="F42" s="6"/>
      <c r="G42" s="6"/>
      <c r="H42" s="6"/>
      <c r="I42" s="6"/>
      <c r="J42" s="459" t="s">
        <v>21</v>
      </c>
      <c r="K42" s="460"/>
      <c r="L42" s="43">
        <f>L40+L41</f>
        <v>419.10500000000002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690</v>
      </c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0">
    <mergeCell ref="D20:F20"/>
    <mergeCell ref="I20:J20"/>
    <mergeCell ref="D22:F22"/>
    <mergeCell ref="I31:J31"/>
    <mergeCell ref="I21:J21"/>
    <mergeCell ref="D23:F23"/>
    <mergeCell ref="I25:J25"/>
    <mergeCell ref="D24:F24"/>
    <mergeCell ref="D25:F25"/>
    <mergeCell ref="D31:F31"/>
    <mergeCell ref="D21:F21"/>
    <mergeCell ref="I23:J23"/>
    <mergeCell ref="I24:J24"/>
    <mergeCell ref="D26:F26"/>
    <mergeCell ref="D27:F27"/>
    <mergeCell ref="D28:F2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B11:D12"/>
    <mergeCell ref="I17:J17"/>
    <mergeCell ref="D19:F19"/>
    <mergeCell ref="I19:J19"/>
    <mergeCell ref="D17:F17"/>
    <mergeCell ref="J42:K42"/>
    <mergeCell ref="J38:K38"/>
    <mergeCell ref="D33:F33"/>
    <mergeCell ref="I33:J33"/>
    <mergeCell ref="D32:F32"/>
    <mergeCell ref="I32:J32"/>
    <mergeCell ref="J40:K40"/>
    <mergeCell ref="D34:F34"/>
    <mergeCell ref="I34:J34"/>
    <mergeCell ref="I22:J22"/>
    <mergeCell ref="D18:F18"/>
    <mergeCell ref="I18:J18"/>
    <mergeCell ref="D30:F30"/>
    <mergeCell ref="I26:J26"/>
    <mergeCell ref="I27:J27"/>
    <mergeCell ref="I28:J28"/>
    <mergeCell ref="I29:J29"/>
    <mergeCell ref="I30:J30"/>
    <mergeCell ref="D29:F29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4743-BB75-442C-A927-5A2782254AC3}">
  <sheetPr>
    <tabColor rgb="FF7030A0"/>
    <pageSetUpPr fitToPage="1"/>
  </sheetPr>
  <dimension ref="B1:V46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2185</v>
      </c>
      <c r="J10" s="24" t="s">
        <v>27</v>
      </c>
      <c r="K10" s="493">
        <v>202501184</v>
      </c>
      <c r="L10" s="494"/>
    </row>
    <row r="11" spans="2:12" ht="20.149999999999999" customHeight="1" x14ac:dyDescent="0.45">
      <c r="B11" s="477" t="s">
        <v>2152</v>
      </c>
      <c r="C11" s="478"/>
      <c r="D11" s="479"/>
      <c r="E11" s="25"/>
      <c r="F11" s="480" t="str">
        <f>VLOOKUP(H10,'Delivery Location'!A$4:N$460,2,0)</f>
        <v>Hawkers Street Ion@Drinks                        2 Orchard Turn, Ion Orchard               #B4-66, Singapore 238801                 Contact person: Jia Ling 8909 0766</v>
      </c>
      <c r="G11" s="481"/>
      <c r="H11" s="482"/>
      <c r="J11" s="26" t="s">
        <v>9</v>
      </c>
      <c r="K11" s="495">
        <v>45665</v>
      </c>
      <c r="L11" s="496"/>
    </row>
    <row r="12" spans="2:12" ht="20.149999999999999" customHeight="1" x14ac:dyDescent="0.45">
      <c r="B12" s="488" t="s">
        <v>2065</v>
      </c>
      <c r="C12" s="449"/>
      <c r="D12" s="489"/>
      <c r="E12" s="25"/>
      <c r="F12" s="483"/>
      <c r="G12" s="484"/>
      <c r="H12" s="485"/>
      <c r="J12" s="26" t="s">
        <v>145</v>
      </c>
      <c r="K12" s="591" t="s">
        <v>2301</v>
      </c>
      <c r="L12" s="592"/>
    </row>
    <row r="13" spans="2:12" ht="20.149999999999999" customHeight="1" x14ac:dyDescent="0.45">
      <c r="B13" s="588" t="s">
        <v>2066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2067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x14ac:dyDescent="0.45">
      <c r="B18" s="259" t="s">
        <v>2270</v>
      </c>
      <c r="C18" s="212" t="str">
        <f>VLOOKUP(B18,'Sales Master'!A$3:B$530,2,0)</f>
        <v>M1016A</v>
      </c>
      <c r="D18" s="461" t="str">
        <f>VLOOKUP(C18,'Sales Master'!B$3:D$530,2,)</f>
        <v>Coconut Sugar Syrup 椰糖浆</v>
      </c>
      <c r="E18" s="461"/>
      <c r="F18" s="461"/>
      <c r="G18" s="76">
        <v>1</v>
      </c>
      <c r="H18" s="399" t="str">
        <f>VLOOKUP(C18,'Sales Master'!$B$3:$F$2413,5,0)</f>
        <v>GW: 5 KG/ Btl支</v>
      </c>
      <c r="I18" s="563" t="str">
        <f>VLOOKUP(C18,'Sales Master'!$B$3:$E$2413,4,0)</f>
        <v>DO!</v>
      </c>
      <c r="J18" s="563"/>
      <c r="K18" s="83">
        <f>VLOOKUP(C18,'Sales Master'!B$3:CQ$675,94,0)</f>
        <v>20</v>
      </c>
      <c r="L18" s="84">
        <f t="shared" ref="L18" si="0">K18*G18</f>
        <v>20</v>
      </c>
      <c r="M18" s="65"/>
      <c r="R18" s="19">
        <v>2</v>
      </c>
      <c r="S18" s="19" t="s">
        <v>34</v>
      </c>
      <c r="T18" s="19" t="s">
        <v>62</v>
      </c>
      <c r="V18" s="19">
        <v>6</v>
      </c>
    </row>
    <row r="19" spans="2:22" ht="20.149999999999999" customHeight="1" x14ac:dyDescent="0.45">
      <c r="B19" s="259" t="s">
        <v>2098</v>
      </c>
      <c r="C19" s="212" t="str">
        <f>VLOOKUP(B19,'Sales Master'!A$3:B$530,2,0)</f>
        <v>P3016A</v>
      </c>
      <c r="D19" s="461" t="str">
        <f>VLOOKUP(C19,'Sales Master'!B$3:D$530,2,)</f>
        <v>Pearl Barley 薏米</v>
      </c>
      <c r="E19" s="461"/>
      <c r="F19" s="461"/>
      <c r="G19" s="76">
        <v>1</v>
      </c>
      <c r="H19" s="396" t="str">
        <f>VLOOKUP(C19,'Sales Master'!$B$3:$F$2413,5,0)</f>
        <v>5 KG</v>
      </c>
      <c r="I19" s="563" t="str">
        <f>VLOOKUP(C19,'Sales Master'!$B$3:$E$2413,4,0)</f>
        <v>-</v>
      </c>
      <c r="J19" s="563"/>
      <c r="K19" s="83">
        <f>VLOOKUP(C19,'Sales Master'!B$3:CQ$675,94,0)</f>
        <v>10</v>
      </c>
      <c r="L19" s="84">
        <f>K19*G19</f>
        <v>10</v>
      </c>
      <c r="M19" s="65"/>
      <c r="N19" s="145"/>
      <c r="O19" s="145"/>
      <c r="P19" s="145"/>
    </row>
    <row r="20" spans="2:22" ht="20.149999999999999" customHeight="1" x14ac:dyDescent="0.45">
      <c r="B20" s="259" t="s">
        <v>2182</v>
      </c>
      <c r="C20" s="212" t="str">
        <f>VLOOKUP(B20,'Sales Master'!A$3:B$530,2,0)</f>
        <v>P4010</v>
      </c>
      <c r="D20" s="461" t="str">
        <f>VLOOKUP(C20,'Sales Master'!B$3:D$530,2,)</f>
        <v>Lychee in Syrup 荔枝</v>
      </c>
      <c r="E20" s="461"/>
      <c r="F20" s="461"/>
      <c r="G20" s="76">
        <v>1</v>
      </c>
      <c r="H20" s="396" t="str">
        <f>VLOOKUP(C20,'Sales Master'!$B$3:$F$2413,5,0)</f>
        <v>12can/箱</v>
      </c>
      <c r="I20" s="563" t="str">
        <f>VLOOKUP(C20,'Sales Master'!$B$3:$E$2413,4,0)</f>
        <v>MiLi</v>
      </c>
      <c r="J20" s="563"/>
      <c r="K20" s="83">
        <f>VLOOKUP(C20,'Sales Master'!B$3:CQ$675,94,0)</f>
        <v>26</v>
      </c>
      <c r="L20" s="84">
        <f>K20*G20</f>
        <v>26</v>
      </c>
      <c r="M20" s="65"/>
    </row>
    <row r="21" spans="2:22" ht="20.149999999999999" customHeight="1" x14ac:dyDescent="0.45">
      <c r="B21" s="259" t="s">
        <v>2110</v>
      </c>
      <c r="C21" s="212" t="str">
        <f>VLOOKUP(B21,'Sales Master'!A$3:B$530,2,0)</f>
        <v>P6008</v>
      </c>
      <c r="D21" s="461" t="str">
        <f>VLOOKUP(C21,'Sales Master'!B$3:D$530,2,)</f>
        <v>Lime 酸甘</v>
      </c>
      <c r="E21" s="461"/>
      <c r="F21" s="461"/>
      <c r="G21" s="76">
        <v>2</v>
      </c>
      <c r="H21" s="396" t="str">
        <f>VLOOKUP(C21,'Sales Master'!$B$3:$F$2413,5,0)</f>
        <v>1 KG</v>
      </c>
      <c r="I21" s="563" t="str">
        <f>VLOOKUP(C21,'Sales Master'!$B$3:$E$2413,4,0)</f>
        <v>-</v>
      </c>
      <c r="J21" s="563"/>
      <c r="K21" s="83">
        <f>VLOOKUP(C21,'Sales Master'!B$3:CQ$675,94,0)</f>
        <v>3.5</v>
      </c>
      <c r="L21" s="84">
        <f t="shared" ref="L21" si="1">K21*G21</f>
        <v>7</v>
      </c>
      <c r="M21" s="65"/>
    </row>
    <row r="22" spans="2:22" ht="20.149999999999999" customHeight="1" x14ac:dyDescent="0.45">
      <c r="B22" s="259" t="s">
        <v>2302</v>
      </c>
      <c r="C22" s="212" t="str">
        <f>VLOOKUP(B22,'Sales Master'!A$3:B$530,2,0)</f>
        <v>M1037A</v>
      </c>
      <c r="D22" s="461" t="str">
        <f>VLOOKUP(C22,'Sales Master'!B$3:D$530,2,)</f>
        <v>Rock Sugar Syrup 冰糖浆</v>
      </c>
      <c r="E22" s="461"/>
      <c r="F22" s="461"/>
      <c r="G22" s="76">
        <v>1</v>
      </c>
      <c r="H22" s="396" t="str">
        <f>VLOOKUP(C22,'Sales Master'!$B$3:$F$2413,5,0)</f>
        <v>5 KG</v>
      </c>
      <c r="I22" s="563" t="str">
        <f>VLOOKUP(C22,'Sales Master'!$B$3:$E$2413,4,0)</f>
        <v>DO!</v>
      </c>
      <c r="J22" s="563"/>
      <c r="K22" s="83">
        <f>VLOOKUP(C22,'Sales Master'!B$3:CQ$675,94,0)</f>
        <v>11</v>
      </c>
      <c r="L22" s="84">
        <f t="shared" ref="L22" si="2">K22*G22</f>
        <v>11</v>
      </c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61"/>
      <c r="E23" s="461"/>
      <c r="F23" s="461"/>
      <c r="G23" s="76"/>
      <c r="H23" s="396"/>
      <c r="I23" s="563"/>
      <c r="J23" s="563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564"/>
      <c r="E24" s="564"/>
      <c r="F24" s="564"/>
      <c r="G24" s="76"/>
      <c r="H24" s="399"/>
      <c r="I24" s="563"/>
      <c r="J24" s="563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98"/>
      <c r="E25" s="498"/>
      <c r="F25" s="498"/>
      <c r="G25" s="76"/>
      <c r="H25" s="396"/>
      <c r="I25" s="563"/>
      <c r="J25" s="563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396"/>
      <c r="I26" s="563"/>
      <c r="J26" s="563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396"/>
      <c r="I27" s="563"/>
      <c r="J27" s="563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396"/>
      <c r="I28" s="563"/>
      <c r="J28" s="563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396"/>
      <c r="I29" s="563"/>
      <c r="J29" s="563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59"/>
      <c r="C30" s="212"/>
      <c r="D30" s="461"/>
      <c r="E30" s="461"/>
      <c r="F30" s="461"/>
      <c r="G30" s="76"/>
      <c r="H30" s="209"/>
      <c r="I30" s="563"/>
      <c r="J30" s="563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209"/>
      <c r="I31" s="183"/>
      <c r="J31" s="183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17"/>
      <c r="G32" s="76"/>
      <c r="H32" s="209"/>
      <c r="I32" s="183"/>
      <c r="J32" s="183"/>
      <c r="K32" s="83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SUM(L18:L33)</f>
        <v>74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74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6.66</v>
      </c>
    </row>
    <row r="38" spans="2:14" ht="20.149999999999999" customHeight="1" thickBot="1" x14ac:dyDescent="0.5">
      <c r="B38" s="10" t="s">
        <v>700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80.66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3">
    <mergeCell ref="D28:F28"/>
    <mergeCell ref="I28:J28"/>
    <mergeCell ref="J38:K38"/>
    <mergeCell ref="D29:F29"/>
    <mergeCell ref="I29:J29"/>
    <mergeCell ref="D30:F30"/>
    <mergeCell ref="I30:J30"/>
    <mergeCell ref="J34:K34"/>
    <mergeCell ref="J36:K36"/>
    <mergeCell ref="D25:F25"/>
    <mergeCell ref="I25:J25"/>
    <mergeCell ref="D26:F26"/>
    <mergeCell ref="I26:J26"/>
    <mergeCell ref="D27:F27"/>
    <mergeCell ref="I27:J27"/>
    <mergeCell ref="D23:F23"/>
    <mergeCell ref="I23:J23"/>
    <mergeCell ref="D19:F19"/>
    <mergeCell ref="I19:J19"/>
    <mergeCell ref="D24:F24"/>
    <mergeCell ref="I24:J24"/>
    <mergeCell ref="D22:F22"/>
    <mergeCell ref="I22:J22"/>
    <mergeCell ref="D17:F17"/>
    <mergeCell ref="I17:J17"/>
    <mergeCell ref="D18:F18"/>
    <mergeCell ref="I18:J18"/>
    <mergeCell ref="D21:F21"/>
    <mergeCell ref="I21:J21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44"/>
  <sheetViews>
    <sheetView topLeftCell="B7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</v>
      </c>
      <c r="J10" s="24" t="s">
        <v>27</v>
      </c>
      <c r="K10" s="493">
        <v>202303425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Fusionoplis one.                                           1 Fusionopolis Way Basement 2        #B2-02 Singapore 138632                                   (DRINK)</v>
      </c>
      <c r="G11" s="481"/>
      <c r="H11" s="482"/>
      <c r="J11" s="26" t="s">
        <v>9</v>
      </c>
      <c r="K11" s="486">
        <v>45006</v>
      </c>
      <c r="L11" s="487"/>
    </row>
    <row r="12" spans="2:12" ht="20.149999999999999" customHeight="1" x14ac:dyDescent="0.45">
      <c r="B12" s="488" t="s">
        <v>1171</v>
      </c>
      <c r="C12" s="449"/>
      <c r="D12" s="489"/>
      <c r="E12" s="25"/>
      <c r="F12" s="483"/>
      <c r="G12" s="484"/>
      <c r="H12" s="485"/>
      <c r="J12" s="26" t="s">
        <v>145</v>
      </c>
      <c r="K12" s="506" t="s">
        <v>34</v>
      </c>
      <c r="L12" s="507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17" t="s">
        <v>961</v>
      </c>
      <c r="D18" s="498" t="str">
        <f>VLOOKUP(C18,'Sales Master'!B$3:D$530,2,)</f>
        <v>Lychee in Syrup 荔枝</v>
      </c>
      <c r="E18" s="498"/>
      <c r="F18" s="498"/>
      <c r="G18" s="76">
        <v>2</v>
      </c>
      <c r="H18" s="188" t="str">
        <f>VLOOKUP(C18,'Sales Master'!$B$3:$F$2481,5,0)</f>
        <v>12 CAN/CARTON</v>
      </c>
      <c r="I18" s="497" t="str">
        <f>VLOOKUP(C18,'Sales Master'!$B$3:$E$2481,4,0)</f>
        <v>Statue</v>
      </c>
      <c r="J18" s="497"/>
      <c r="K18" s="99">
        <f>VLOOKUP(C18,'Sales Master'!$B$3:$AY$530,50,0)</f>
        <v>22</v>
      </c>
      <c r="L18" s="31">
        <f>K18*G18</f>
        <v>44</v>
      </c>
      <c r="N18" s="145">
        <f>VLOOKUP(C18,'Sales Master'!$B$3:$DA$2272,104,0)</f>
        <v>16.5</v>
      </c>
      <c r="O18" s="145">
        <f>K18-N18</f>
        <v>5.5</v>
      </c>
      <c r="P18" s="145">
        <f>O18*G18</f>
        <v>11</v>
      </c>
    </row>
    <row r="19" spans="2:17" ht="20.149999999999999" customHeight="1" x14ac:dyDescent="0.45">
      <c r="B19" s="29"/>
      <c r="C19" s="17"/>
      <c r="D19" s="498"/>
      <c r="E19" s="498"/>
      <c r="F19" s="498"/>
      <c r="G19" s="76"/>
      <c r="H19" s="186"/>
      <c r="I19" s="497"/>
      <c r="J19" s="497"/>
      <c r="K19" s="99"/>
      <c r="L19" s="31"/>
      <c r="N19" s="145"/>
      <c r="O19" s="145"/>
      <c r="P19" s="145"/>
    </row>
    <row r="20" spans="2:17" ht="20.149999999999999" customHeight="1" x14ac:dyDescent="0.45">
      <c r="B20" s="29"/>
      <c r="C20" s="17"/>
      <c r="D20" s="498"/>
      <c r="E20" s="498"/>
      <c r="F20" s="498"/>
      <c r="G20" s="76"/>
      <c r="H20" s="186"/>
      <c r="I20" s="497"/>
      <c r="J20" s="497"/>
      <c r="K20" s="99"/>
      <c r="L20" s="31"/>
      <c r="N20" s="145"/>
      <c r="O20" s="145"/>
      <c r="P20" s="145"/>
    </row>
    <row r="21" spans="2:17" ht="20.149999999999999" customHeight="1" x14ac:dyDescent="0.45">
      <c r="B21" s="29"/>
      <c r="C21" s="17"/>
      <c r="D21" s="498"/>
      <c r="E21" s="498"/>
      <c r="F21" s="498"/>
      <c r="G21" s="76"/>
      <c r="H21" s="186"/>
      <c r="I21" s="497"/>
      <c r="J21" s="497"/>
      <c r="K21" s="99"/>
      <c r="L21" s="31"/>
      <c r="N21" s="145"/>
      <c r="O21" s="145"/>
      <c r="P21" s="145"/>
    </row>
    <row r="22" spans="2:17" ht="20.149999999999999" customHeight="1" x14ac:dyDescent="0.45">
      <c r="B22" s="29"/>
      <c r="C22" s="17"/>
      <c r="D22" s="498"/>
      <c r="E22" s="498"/>
      <c r="F22" s="498"/>
      <c r="G22" s="76"/>
      <c r="H22" s="186"/>
      <c r="I22" s="497"/>
      <c r="J22" s="497"/>
      <c r="K22" s="99"/>
      <c r="L22" s="31"/>
      <c r="N22" s="145"/>
      <c r="O22" s="145"/>
      <c r="P22" s="145"/>
    </row>
    <row r="23" spans="2:17" ht="20.149999999999999" customHeight="1" x14ac:dyDescent="0.45">
      <c r="B23" s="29"/>
      <c r="C23" s="17"/>
      <c r="D23" s="498"/>
      <c r="E23" s="498"/>
      <c r="F23" s="498"/>
      <c r="G23" s="76"/>
      <c r="H23" s="186"/>
      <c r="I23" s="497"/>
      <c r="J23" s="497"/>
      <c r="K23" s="99"/>
      <c r="L23" s="31"/>
      <c r="N23" s="145"/>
      <c r="O23" s="145"/>
      <c r="P23" s="145"/>
    </row>
    <row r="24" spans="2:17" ht="20.149999999999999" customHeight="1" x14ac:dyDescent="0.45">
      <c r="B24" s="29"/>
      <c r="C24" s="17"/>
      <c r="D24" s="498"/>
      <c r="E24" s="498"/>
      <c r="F24" s="498"/>
      <c r="G24" s="76"/>
      <c r="H24" s="186"/>
      <c r="I24" s="497"/>
      <c r="J24" s="497"/>
      <c r="K24" s="99"/>
      <c r="L24" s="31"/>
      <c r="N24" s="145"/>
      <c r="O24" s="145"/>
      <c r="P24" s="145"/>
    </row>
    <row r="25" spans="2:17" ht="20.149999999999999" customHeight="1" x14ac:dyDescent="0.45">
      <c r="B25" s="29"/>
      <c r="C25" s="17"/>
      <c r="D25" s="498"/>
      <c r="E25" s="498"/>
      <c r="F25" s="498"/>
      <c r="G25" s="76"/>
      <c r="H25" s="186"/>
      <c r="I25" s="497"/>
      <c r="J25" s="497"/>
      <c r="K25" s="99"/>
      <c r="L25" s="31"/>
      <c r="N25" s="145"/>
      <c r="O25" s="145"/>
      <c r="P25" s="145"/>
    </row>
    <row r="26" spans="2:17" ht="20.149999999999999" customHeight="1" x14ac:dyDescent="0.45">
      <c r="B26" s="29"/>
      <c r="C26" s="17"/>
      <c r="D26" s="498"/>
      <c r="E26" s="498"/>
      <c r="F26" s="498"/>
      <c r="G26" s="17"/>
      <c r="H26" s="56"/>
      <c r="I26" s="491"/>
      <c r="J26" s="491"/>
      <c r="K26" s="99"/>
      <c r="L26" s="31"/>
    </row>
    <row r="27" spans="2:17" ht="20.149999999999999" customHeight="1" x14ac:dyDescent="0.45">
      <c r="B27" s="29"/>
      <c r="C27" s="17"/>
      <c r="D27" s="498"/>
      <c r="E27" s="498"/>
      <c r="F27" s="498"/>
      <c r="G27" s="17"/>
      <c r="H27" s="56"/>
      <c r="I27" s="491"/>
      <c r="J27" s="491"/>
      <c r="K27" s="99"/>
      <c r="L27" s="31"/>
    </row>
    <row r="28" spans="2:17" ht="20.149999999999999" customHeight="1" x14ac:dyDescent="0.45">
      <c r="B28" s="29"/>
      <c r="C28" s="17"/>
      <c r="D28" s="498"/>
      <c r="E28" s="498"/>
      <c r="F28" s="498"/>
      <c r="G28" s="17"/>
      <c r="H28" s="56"/>
      <c r="I28" s="491"/>
      <c r="J28" s="491"/>
      <c r="K28" s="99"/>
      <c r="L28" s="31"/>
    </row>
    <row r="29" spans="2:17" ht="20.149999999999999" customHeight="1" x14ac:dyDescent="0.45">
      <c r="B29" s="29"/>
      <c r="C29" s="17"/>
      <c r="D29" s="498"/>
      <c r="E29" s="498"/>
      <c r="F29" s="498"/>
      <c r="G29" s="17"/>
      <c r="H29" s="56"/>
      <c r="I29" s="491"/>
      <c r="J29" s="491"/>
      <c r="K29" s="30"/>
      <c r="L29" s="31"/>
    </row>
    <row r="30" spans="2:17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SUM(L17:L29)</f>
        <v>44</v>
      </c>
      <c r="M32" s="63">
        <f>SUM(P18:P30)</f>
        <v>11</v>
      </c>
      <c r="N32" s="133">
        <f>M32/L32</f>
        <v>0.25</v>
      </c>
      <c r="Q32" s="63">
        <f>SUM(Q19:Q31)</f>
        <v>0</v>
      </c>
    </row>
    <row r="33" spans="2:17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7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44</v>
      </c>
    </row>
    <row r="35" spans="2:17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3.96</v>
      </c>
    </row>
    <row r="36" spans="2:17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47.96</v>
      </c>
    </row>
    <row r="37" spans="2:17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  <c r="N37" s="173">
        <v>44641</v>
      </c>
      <c r="O37" s="19">
        <v>127.5</v>
      </c>
      <c r="P37" s="19">
        <v>18.8</v>
      </c>
      <c r="Q37" s="133">
        <f>P37/O37</f>
        <v>0.14745098039215687</v>
      </c>
    </row>
    <row r="38" spans="2:17" ht="20.149999999999999" customHeight="1" x14ac:dyDescent="0.45">
      <c r="B38" s="36"/>
      <c r="L38" s="37"/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A82A-33B7-4B61-A10D-C920AD615A00}">
  <sheetPr>
    <tabColor rgb="FFFFC000"/>
    <pageSetUpPr fitToPage="1"/>
  </sheetPr>
  <dimension ref="B1:P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2186</v>
      </c>
      <c r="J10" s="24" t="s">
        <v>27</v>
      </c>
      <c r="K10" s="493">
        <v>202501152</v>
      </c>
      <c r="L10" s="494"/>
      <c r="N10" s="19" t="s">
        <v>754</v>
      </c>
      <c r="O10" s="19" t="s">
        <v>1375</v>
      </c>
    </row>
    <row r="11" spans="2:15" ht="20.149999999999999" customHeight="1" x14ac:dyDescent="0.45">
      <c r="B11" s="477" t="s">
        <v>1333</v>
      </c>
      <c r="C11" s="478"/>
      <c r="D11" s="479"/>
      <c r="E11" s="25"/>
      <c r="F11" s="480" t="str">
        <f>VLOOKUP(H10,'Delivery Location'!A$4:N$460,2,0)</f>
        <v xml:space="preserve">R&amp;B TEA SINGAPORE                                 BLK 127 PLANTATION CRESCENT,        PLANTATION PLAZA #B1-14,                        SINGAPORE 690127 </v>
      </c>
      <c r="G11" s="481"/>
      <c r="H11" s="482"/>
      <c r="J11" s="26" t="s">
        <v>9</v>
      </c>
      <c r="K11" s="495">
        <v>45664</v>
      </c>
      <c r="L11" s="496"/>
      <c r="N11" s="19" t="s">
        <v>1742</v>
      </c>
      <c r="O11" s="19" t="s">
        <v>1900</v>
      </c>
    </row>
    <row r="12" spans="2:15" ht="20.149999999999999" customHeight="1" x14ac:dyDescent="0.45">
      <c r="B12" s="488" t="s">
        <v>1334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810</v>
      </c>
      <c r="O12" s="19" t="s">
        <v>242</v>
      </c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1769</v>
      </c>
      <c r="O13" s="19" t="s">
        <v>1562</v>
      </c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76">
        <v>2</v>
      </c>
      <c r="H18" s="186" t="str">
        <f>VLOOKUP(C18,'Sales Master'!$B$3:$F$2481,5,0)</f>
        <v>1 KG/ Box盒</v>
      </c>
      <c r="I18" s="497" t="str">
        <f>VLOOKUP(C18,'Sales Master'!$B$3:$E$2481,4,0)</f>
        <v>-</v>
      </c>
      <c r="J18" s="497"/>
      <c r="K18" s="30">
        <f>VLOOKUP(C18,'Sales Master'!B$3:AD$530,29,0)</f>
        <v>8.5</v>
      </c>
      <c r="L18" s="64">
        <f>K18*G18</f>
        <v>17</v>
      </c>
      <c r="M18" s="65"/>
      <c r="N18" s="145">
        <f>VLOOKUP(C18,'Sales Master'!$B$3:$DA$2272,104,0)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754</v>
      </c>
      <c r="D19" s="461" t="str">
        <f>VLOOKUP(C19,'Sales Master'!B$3:D$530,2,)</f>
        <v>Grass Jelly 仙草冻</v>
      </c>
      <c r="E19" s="461"/>
      <c r="F19" s="461"/>
      <c r="G19" s="76">
        <v>6</v>
      </c>
      <c r="H19" s="186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Master'!B$3:AD$530,29,0)</f>
        <v>3.5</v>
      </c>
      <c r="L19" s="64">
        <f>K19*G19</f>
        <v>21</v>
      </c>
      <c r="M19" s="65"/>
      <c r="N19" s="145">
        <f>VLOOKUP(C19,'Sales Master'!$B$3:$DA$2272,104,0)</f>
        <v>1.0900000000000001</v>
      </c>
      <c r="O19" s="145">
        <f>K19-N19</f>
        <v>2.41</v>
      </c>
      <c r="P19" s="145">
        <f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SUM(L14:L26)</f>
        <v>38</v>
      </c>
      <c r="M30" s="63">
        <f>SUM(P18:P26)</f>
        <v>21.86</v>
      </c>
      <c r="N30" s="133">
        <f>M30/L30</f>
        <v>0.57526315789473681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2:K32"/>
    <mergeCell ref="J34:K34"/>
    <mergeCell ref="D26:F26"/>
    <mergeCell ref="I26:J26"/>
    <mergeCell ref="D28:F28"/>
    <mergeCell ref="I28:J28"/>
    <mergeCell ref="J30:K30"/>
    <mergeCell ref="D21:F21"/>
    <mergeCell ref="I21:J21"/>
    <mergeCell ref="D22:F22"/>
    <mergeCell ref="I22:J22"/>
    <mergeCell ref="D25:F25"/>
    <mergeCell ref="I25:J25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2A3E-300A-45C6-B76C-FD170C880E7B}">
  <sheetPr>
    <tabColor rgb="FF7030A0"/>
    <pageSetUpPr fitToPage="1"/>
  </sheetPr>
  <dimension ref="B1:P43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2195</v>
      </c>
      <c r="J10" s="24" t="s">
        <v>27</v>
      </c>
      <c r="K10" s="493">
        <v>202501061</v>
      </c>
      <c r="L10" s="494"/>
    </row>
    <row r="11" spans="2:12" ht="20.149999999999999" customHeight="1" x14ac:dyDescent="0.45">
      <c r="B11" s="477" t="s">
        <v>2199</v>
      </c>
      <c r="C11" s="478"/>
      <c r="D11" s="479"/>
      <c r="E11" s="25"/>
      <c r="F11" s="480" t="str">
        <f>VLOOKUP(H10,'Delivery Location'!A$4:N$460,2,0)</f>
        <v>Woodlands 548 Foodcourt Pte Ltd                   Blk 548 Woodlands Drive 44,            #02-34, Singapore 730548</v>
      </c>
      <c r="G11" s="481"/>
      <c r="H11" s="482"/>
      <c r="J11" s="26" t="s">
        <v>9</v>
      </c>
      <c r="K11" s="495">
        <v>45660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1033</v>
      </c>
      <c r="D18" s="461" t="str">
        <f>VLOOKUP(C18,'Sales Master'!B$3:D$530,2,)</f>
        <v>Pandan Leaf 班兰叶</v>
      </c>
      <c r="E18" s="461"/>
      <c r="F18" s="461"/>
      <c r="G18" s="17">
        <v>3</v>
      </c>
      <c r="H18" s="85" t="str">
        <f>VLOOKUP(C18,'Sales Master'!$B$3:$F$2481,5,0)</f>
        <v>1 KG</v>
      </c>
      <c r="I18" s="497" t="str">
        <f>VLOOKUP(C18,'Sales Master'!$B$3:$E$2481,4,0)</f>
        <v>-</v>
      </c>
      <c r="J18" s="497"/>
      <c r="K18" s="30">
        <f>VLOOKUP(C18,'Sales Master'!$B$3:$U$530,20,0)</f>
        <v>1.8</v>
      </c>
      <c r="L18" s="31">
        <f>K18*G18</f>
        <v>5.4</v>
      </c>
      <c r="N18" s="145">
        <f>VLOOKUP(C18,'Sales Master'!$B$3:$DA$2272,104,0)</f>
        <v>1.1000000000000001</v>
      </c>
      <c r="O18" s="145">
        <f>K18-N18</f>
        <v>0.7</v>
      </c>
      <c r="P18" s="145">
        <f>O18*G18</f>
        <v>2.0999999999999996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85"/>
      <c r="I19" s="208"/>
      <c r="J19" s="208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208"/>
      <c r="J21" s="20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G23" s="17"/>
      <c r="H23" s="85"/>
      <c r="I23" s="208"/>
      <c r="J23" s="208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85"/>
      <c r="I25" s="497"/>
      <c r="J25" s="497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17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5.4</v>
      </c>
      <c r="M31" s="63">
        <f>SUM(P18:P22)-L31*0.02</f>
        <v>1.9919999999999995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5.4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0.48599999999999999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5.8860000000000001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I17:J17"/>
    <mergeCell ref="D22:F22"/>
    <mergeCell ref="I22:J22"/>
    <mergeCell ref="D19:F19"/>
    <mergeCell ref="D20:F20"/>
    <mergeCell ref="I20:J20"/>
    <mergeCell ref="D21:F21"/>
    <mergeCell ref="D25:F25"/>
    <mergeCell ref="I25:J25"/>
    <mergeCell ref="J35:K35"/>
    <mergeCell ref="D26:F26"/>
    <mergeCell ref="D27:F27"/>
    <mergeCell ref="D28:F28"/>
    <mergeCell ref="D29:F29"/>
    <mergeCell ref="J31:K31"/>
    <mergeCell ref="J33:K33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DF38-C91A-42D1-BF2E-A68C7F3F324B}">
  <sheetPr>
    <tabColor rgb="FF7030A0"/>
    <pageSetUpPr fitToPage="1"/>
  </sheetPr>
  <dimension ref="B1:P44"/>
  <sheetViews>
    <sheetView topLeftCell="A2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2204</v>
      </c>
      <c r="J10" s="24" t="s">
        <v>27</v>
      </c>
      <c r="K10" s="493">
        <v>202411297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Kenny Wong     Mobile: 8732 2999                   51 Yishun Avenue 11, Yishun Park Hawker Centre #01-23, Singapore 768867</v>
      </c>
      <c r="G11" s="481"/>
      <c r="H11" s="482"/>
      <c r="J11" s="26" t="s">
        <v>9</v>
      </c>
      <c r="K11" s="495">
        <v>45609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17">
        <v>3</v>
      </c>
      <c r="H18" s="413" t="str">
        <f>VLOOKUP(C18,'Sales Master'!$B$3:$F$2481,5,0)</f>
        <v>NW(2.2:0.8) 3kg/ Bag包</v>
      </c>
      <c r="I18" s="497" t="str">
        <f>VLOOKUP(C18,'Sales Master'!$B$3:$E$2481,4,0)</f>
        <v>DO!</v>
      </c>
      <c r="J18" s="497"/>
      <c r="K18" s="30">
        <f>VLOOKUP(C18,'Sales Master'!$B$3:$V$530,21,0)</f>
        <v>7</v>
      </c>
      <c r="L18" s="31">
        <f>K18*G18</f>
        <v>21</v>
      </c>
      <c r="N18" s="145">
        <f>VLOOKUP(C18,'Sales Master'!$B$3:$DA$2272,104,0)</f>
        <v>2.44</v>
      </c>
      <c r="O18" s="145">
        <f>K18-N18</f>
        <v>4.5600000000000005</v>
      </c>
      <c r="P18" s="145">
        <f>O18*G18</f>
        <v>13.680000000000001</v>
      </c>
    </row>
    <row r="19" spans="2:16" ht="20.149999999999999" customHeight="1" x14ac:dyDescent="0.45">
      <c r="B19" s="29"/>
      <c r="C19" s="212" t="s">
        <v>726</v>
      </c>
      <c r="D19" s="518" t="str">
        <f>VLOOKUP(C19,'Sales Master'!B$3:D$530,2,)</f>
        <v>Durian Puree 榴莲酱</v>
      </c>
      <c r="E19" s="518"/>
      <c r="F19" s="518"/>
      <c r="G19" s="17">
        <v>1</v>
      </c>
      <c r="H19" s="85" t="str">
        <f>VLOOKUP(C19,'Sales Master'!$B$3:$F$2481,5,0)</f>
        <v>1 KG/ Box盒</v>
      </c>
      <c r="I19" s="497" t="str">
        <f>VLOOKUP(C19,'Sales Master'!$B$3:$E$2481,4,0)</f>
        <v>DO!</v>
      </c>
      <c r="J19" s="497"/>
      <c r="K19" s="30">
        <f>VLOOKUP(C19,'Sales Master'!$B$3:$V$530,21,0)</f>
        <v>10</v>
      </c>
      <c r="L19" s="31">
        <f t="shared" ref="L19" si="0">K19*G19</f>
        <v>10</v>
      </c>
      <c r="N19" s="145">
        <f>VLOOKUP(C19,'Sales Master'!$B$3:$DA$2272,104,0)</f>
        <v>4.71</v>
      </c>
      <c r="O19" s="145">
        <f t="shared" ref="O19" si="1">K19-N19</f>
        <v>5.29</v>
      </c>
      <c r="P19" s="145">
        <f t="shared" ref="P19" si="2">O19*G19</f>
        <v>5.29</v>
      </c>
    </row>
    <row r="20" spans="2:16" ht="20.149999999999999" customHeight="1" x14ac:dyDescent="0.45">
      <c r="B20" s="29"/>
      <c r="C20" s="212" t="s">
        <v>736</v>
      </c>
      <c r="D20" s="502" t="str">
        <f>VLOOKUP(C20,'Sales Master'!B$3:D$530,2,)</f>
        <v>Bobo ChaCha Cubes 摩摩喳喳</v>
      </c>
      <c r="E20" s="502"/>
      <c r="F20" s="502"/>
      <c r="G20" s="17">
        <v>1</v>
      </c>
      <c r="H20" s="85" t="str">
        <f>VLOOKUP(C20,'Sales Master'!$B$3:$F$2481,5,0)</f>
        <v>800 GM/ Bag包</v>
      </c>
      <c r="I20" s="497" t="str">
        <f>VLOOKUP(C20,'Sales Master'!$B$3:$E$2481,4,0)</f>
        <v>DO!</v>
      </c>
      <c r="J20" s="497"/>
      <c r="K20" s="30">
        <f>VLOOKUP(C20,'Sales Master'!$B$3:$V$530,21,0)</f>
        <v>8</v>
      </c>
      <c r="L20" s="31">
        <f>K20*G20</f>
        <v>8</v>
      </c>
      <c r="N20" s="145">
        <f>VLOOKUP(C20,'Sales Master'!$B$3:$DA$2272,104,0)</f>
        <v>0.89</v>
      </c>
      <c r="O20" s="145">
        <f>K20-N20</f>
        <v>7.11</v>
      </c>
      <c r="P20" s="145">
        <f>O20*G20</f>
        <v>7.11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97"/>
      <c r="J21" s="497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97"/>
      <c r="J23" s="497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85"/>
      <c r="I26" s="497"/>
      <c r="J26" s="497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SUM(L17:L30)</f>
        <v>39</v>
      </c>
      <c r="M32" s="63">
        <f>SUM(P18:P23)-L32*0.02</f>
        <v>25.3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42.51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6:F26"/>
    <mergeCell ref="I26:J26"/>
    <mergeCell ref="J36:K36"/>
    <mergeCell ref="D27:F27"/>
    <mergeCell ref="D28:F28"/>
    <mergeCell ref="D29:F29"/>
    <mergeCell ref="D30:F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34C-F4D0-497D-B22D-E6D3D0C819F6}">
  <sheetPr>
    <tabColor rgb="FF7030A0"/>
    <pageSetUpPr fitToPage="1"/>
  </sheetPr>
  <dimension ref="B1:V44"/>
  <sheetViews>
    <sheetView topLeftCell="A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2214</v>
      </c>
      <c r="J10" s="24" t="s">
        <v>27</v>
      </c>
      <c r="K10" s="493">
        <v>202411194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Wisma Atria Orchard@Drink Stall.          435 Orchard Road #04-02                Wisma Atria, Singapore 238877                           </v>
      </c>
      <c r="G11" s="481"/>
      <c r="H11" s="482"/>
      <c r="J11" s="26" t="s">
        <v>9</v>
      </c>
      <c r="K11" s="495">
        <v>45604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180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831</v>
      </c>
      <c r="D18" s="461" t="str">
        <f>VLOOKUP(C18,'Sales Master'!B$3:D$530,2,)</f>
        <v>Chin Chow  仙草</v>
      </c>
      <c r="E18" s="461"/>
      <c r="F18" s="461"/>
      <c r="G18" s="76">
        <v>12</v>
      </c>
      <c r="H18" s="183" t="str">
        <f>VLOOKUP(C18,'Sales Master'!$B$3:$F$2413,5,0)</f>
        <v>4 KG/ Pkt包</v>
      </c>
      <c r="I18" s="462" t="str">
        <f>VLOOKUP(C18,'Sales Master'!$B$3:$E$2413,4,0)</f>
        <v>TSM</v>
      </c>
      <c r="J18" s="462"/>
      <c r="K18" s="83">
        <f>VLOOKUP(C18,'Sales Master'!B$3:I$530,8,0)</f>
        <v>6</v>
      </c>
      <c r="L18" s="84">
        <f>K18*G18</f>
        <v>72</v>
      </c>
      <c r="N18" s="145">
        <f>VLOOKUP(C18,'Sales Master'!$B$3:$DA$2272,104,0)</f>
        <v>4</v>
      </c>
      <c r="O18" s="145">
        <f>K18-N18</f>
        <v>2</v>
      </c>
      <c r="P18" s="145">
        <f>O18*G18</f>
        <v>24</v>
      </c>
      <c r="Q18" s="181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6"/>
      <c r="J20" s="446"/>
      <c r="K20" s="83"/>
      <c r="L20" s="96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8" t="s">
        <v>1244</v>
      </c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47" t="s">
        <v>2217</v>
      </c>
      <c r="G28" s="76"/>
      <c r="H28" s="56"/>
      <c r="I28" s="85"/>
      <c r="J28" s="85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72</v>
      </c>
      <c r="M32" s="179">
        <f>SUM(P18:P30)</f>
        <v>24</v>
      </c>
      <c r="N32" s="133">
        <f>M32/L32</f>
        <v>0.33333333333333331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72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6.4799999999999995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78.48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30:F30"/>
    <mergeCell ref="J32:K32"/>
    <mergeCell ref="J34:K34"/>
    <mergeCell ref="J36:K36"/>
    <mergeCell ref="D25:F25"/>
    <mergeCell ref="I25:J25"/>
    <mergeCell ref="D26:F26"/>
    <mergeCell ref="I26:J26"/>
    <mergeCell ref="D27:F27"/>
    <mergeCell ref="I27:J27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540-0E66-4870-B76B-5A56C15A0B9D}">
  <sheetPr>
    <tabColor rgb="FF7030A0"/>
    <pageSetUpPr fitToPage="1"/>
  </sheetPr>
  <dimension ref="B1:V1048576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2230</v>
      </c>
      <c r="J10" s="24" t="s">
        <v>27</v>
      </c>
      <c r="K10" s="493">
        <v>202501023</v>
      </c>
      <c r="L10" s="494"/>
    </row>
    <row r="11" spans="2:12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 ION Orchard @ Fruit Stall                           2, Orchard Turn #B4-03/04        Singapore 238801                                           </v>
      </c>
      <c r="G11" s="481"/>
      <c r="H11" s="482"/>
      <c r="J11" s="26" t="s">
        <v>9</v>
      </c>
      <c r="K11" s="511">
        <v>45293</v>
      </c>
      <c r="L11" s="496"/>
    </row>
    <row r="12" spans="2:12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1011</v>
      </c>
      <c r="D18" s="461" t="str">
        <f>VLOOKUP(C18,'Sales Master'!B$3:D$530,2,)</f>
        <v>Brown Sugar 黑糖</v>
      </c>
      <c r="E18" s="461"/>
      <c r="F18" s="461"/>
      <c r="G18" s="76">
        <v>1</v>
      </c>
      <c r="H18" s="196" t="str">
        <f>VLOOKUP(C18,'Sales Master'!$B$3:$F$2413,5,0)</f>
        <v>6 KG</v>
      </c>
      <c r="I18" s="462" t="str">
        <f>VLOOKUP(C18,'Sales Master'!$B$3:$E$2413,4,0)</f>
        <v>Star</v>
      </c>
      <c r="J18" s="462"/>
      <c r="K18" s="83">
        <f>VLOOKUP(C18,'Sales Master'!B$3:I$530,8,0)</f>
        <v>15.5</v>
      </c>
      <c r="L18" s="84">
        <f>K18*G18</f>
        <v>15.5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1019</v>
      </c>
      <c r="D19" s="461" t="str">
        <f>VLOOKUP(C19,'Sales Master'!B$3:D$530,2,)</f>
        <v>Coconut Sugar 椰糖</v>
      </c>
      <c r="E19" s="461"/>
      <c r="F19" s="461"/>
      <c r="G19" s="76">
        <v>1</v>
      </c>
      <c r="H19" s="196" t="str">
        <f>VLOOKUP(C19,'Sales Master'!$B$3:$F$2413,5,0)</f>
        <v>10 KG/ ctn</v>
      </c>
      <c r="I19" s="462" t="str">
        <f>VLOOKUP(C19,'Sales Master'!$B$3:$E$2413,4,0)</f>
        <v>BL BRAND</v>
      </c>
      <c r="J19" s="462"/>
      <c r="K19" s="83">
        <f>VLOOKUP(C19,'Sales Master'!B$3:I$530,8,0)</f>
        <v>35</v>
      </c>
      <c r="L19" s="84">
        <f>K19*G19</f>
        <v>35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6"/>
      <c r="J20" s="446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6"/>
      <c r="J21" s="446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6"/>
      <c r="J22" s="446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454"/>
      <c r="E29" s="454"/>
      <c r="F29" s="454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50.5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50.5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4.5449999999999999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55.045000000000002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5:K35"/>
    <mergeCell ref="D1048576:F1048576"/>
    <mergeCell ref="D27:F27"/>
    <mergeCell ref="I27:J27"/>
    <mergeCell ref="D29:F29"/>
    <mergeCell ref="J31:K31"/>
    <mergeCell ref="J33:K33"/>
  </mergeCells>
  <conditionalFormatting sqref="C18">
    <cfRule type="duplicateValues" dxfId="19" priority="3"/>
  </conditionalFormatting>
  <conditionalFormatting sqref="C19">
    <cfRule type="duplicateValues" dxfId="18" priority="5"/>
  </conditionalFormatting>
  <conditionalFormatting sqref="C20">
    <cfRule type="duplicateValues" dxfId="17" priority="4"/>
  </conditionalFormatting>
  <conditionalFormatting sqref="C21">
    <cfRule type="duplicateValues" dxfId="16" priority="2"/>
  </conditionalFormatting>
  <conditionalFormatting sqref="C22">
    <cfRule type="duplicateValues" dxfId="15" priority="1"/>
  </conditionalFormatting>
  <conditionalFormatting sqref="C24">
    <cfRule type="duplicateValues" dxfId="14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C92C-212B-44B0-87D4-AA5D3A1303EF}">
  <sheetPr>
    <tabColor rgb="FF7030A0"/>
    <pageSetUpPr fitToPage="1"/>
  </sheetPr>
  <dimension ref="B1:P42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2237</v>
      </c>
      <c r="J10" s="24" t="s">
        <v>27</v>
      </c>
      <c r="K10" s="493">
        <v>202501039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Koufu-Drink Stall                                                127 Plantation Crescent, 03-02,  Plantation Plaza, Singapore 690127</v>
      </c>
      <c r="G11" s="481"/>
      <c r="H11" s="482"/>
      <c r="J11" s="26" t="s">
        <v>9</v>
      </c>
      <c r="K11" s="495">
        <v>45659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900</v>
      </c>
      <c r="D18" s="461" t="str">
        <f>VLOOKUP(C18,'Sales Master'!B$3:D$530,2,)</f>
        <v>Bean Curd Sheet 腐竹</v>
      </c>
      <c r="E18" s="461"/>
      <c r="F18" s="461"/>
      <c r="G18" s="17">
        <v>20</v>
      </c>
      <c r="H18" s="85" t="str">
        <f>VLOOKUP(C18,'Sales Master'!$B$3:$F$2481,5,0)</f>
        <v xml:space="preserve">150g/pkt </v>
      </c>
      <c r="I18" s="497" t="str">
        <f>VLOOKUP(C18,'Sales Master'!$B$3:$E$2481,4,0)</f>
        <v>生记</v>
      </c>
      <c r="J18" s="497"/>
      <c r="K18" s="30">
        <f>VLOOKUP(C18,'Sales Master'!$B$3:$J$530,9,0)</f>
        <v>3</v>
      </c>
      <c r="L18" s="31">
        <f>K18*G18</f>
        <v>60</v>
      </c>
      <c r="N18" s="145">
        <f>VLOOKUP(C18,'Sales Master'!$B$3:$DA$2272,104,0)</f>
        <v>2.5</v>
      </c>
      <c r="O18" s="145">
        <f>K18-N18</f>
        <v>0.5</v>
      </c>
      <c r="P18" s="145">
        <f>O18*G18</f>
        <v>10</v>
      </c>
    </row>
    <row r="19" spans="2:16" ht="20.149999999999999" customHeight="1" x14ac:dyDescent="0.45">
      <c r="B19" s="29"/>
      <c r="C19" s="212"/>
      <c r="D19" s="492"/>
      <c r="E19" s="492"/>
      <c r="F19" s="492"/>
      <c r="G19" s="17"/>
      <c r="H19" s="85"/>
      <c r="I19" s="497"/>
      <c r="J19" s="497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97"/>
      <c r="J21" s="497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97"/>
      <c r="J23" s="497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97"/>
      <c r="J24" s="497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60</v>
      </c>
      <c r="M30" s="63">
        <f>SUM(P18:P23)-L30*0.02</f>
        <v>8.8000000000000007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4:F24"/>
    <mergeCell ref="I24:J24"/>
    <mergeCell ref="J34:K34"/>
    <mergeCell ref="D25:F25"/>
    <mergeCell ref="D26:F26"/>
    <mergeCell ref="D27:F27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D616-518D-42CE-93B6-6F29ACF6E72A}">
  <sheetPr>
    <tabColor rgb="FFFFC000"/>
    <pageSetUpPr fitToPage="1"/>
  </sheetPr>
  <dimension ref="B1:P43"/>
  <sheetViews>
    <sheetView topLeftCell="A14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  <c r="N9" s="19" t="s">
        <v>1336</v>
      </c>
      <c r="O9" s="19" t="s">
        <v>1899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2239</v>
      </c>
      <c r="J10" s="24" t="s">
        <v>27</v>
      </c>
      <c r="K10" s="493">
        <v>202501193</v>
      </c>
      <c r="L10" s="494"/>
      <c r="N10" s="19" t="s">
        <v>754</v>
      </c>
      <c r="O10" s="19" t="s">
        <v>1375</v>
      </c>
    </row>
    <row r="11" spans="2:15" ht="20.149999999999999" customHeight="1" x14ac:dyDescent="0.45">
      <c r="B11" s="477" t="s">
        <v>2240</v>
      </c>
      <c r="C11" s="478"/>
      <c r="D11" s="479"/>
      <c r="E11" s="25"/>
      <c r="F11" s="480" t="str">
        <f>VLOOKUP(H10,'Delivery Location'!A$4:N$460,2,0)</f>
        <v>Fullybooked                                                         45 Tai Thong Crescent,                Singapore 347866</v>
      </c>
      <c r="G11" s="481"/>
      <c r="H11" s="482"/>
      <c r="J11" s="26" t="s">
        <v>9</v>
      </c>
      <c r="K11" s="495">
        <v>45665</v>
      </c>
      <c r="L11" s="496"/>
      <c r="N11" s="19" t="s">
        <v>1742</v>
      </c>
      <c r="O11" s="19" t="s">
        <v>1900</v>
      </c>
    </row>
    <row r="12" spans="2:15" ht="20.149999999999999" customHeight="1" x14ac:dyDescent="0.45">
      <c r="B12" s="488" t="s">
        <v>2241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  <c r="N12" s="19" t="s">
        <v>810</v>
      </c>
      <c r="O12" s="19" t="s">
        <v>242</v>
      </c>
    </row>
    <row r="13" spans="2:15" ht="20.149999999999999" customHeight="1" x14ac:dyDescent="0.45">
      <c r="B13" s="488" t="s">
        <v>2242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  <c r="N13" s="19" t="s">
        <v>1769</v>
      </c>
      <c r="O13" s="19" t="s">
        <v>1562</v>
      </c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727</v>
      </c>
      <c r="D18" s="461" t="str">
        <f>VLOOKUP(C18,'Sales Master'!B$3:D$530,2,)</f>
        <v>Mango Puree 芒果酱</v>
      </c>
      <c r="E18" s="461"/>
      <c r="F18" s="461"/>
      <c r="G18" s="76">
        <v>1</v>
      </c>
      <c r="H18" s="186" t="str">
        <f>VLOOKUP(C18,'Sales Master'!$B$3:$F$2481,5,0)</f>
        <v>1 KG/ Box盒</v>
      </c>
      <c r="I18" s="497" t="str">
        <f>VLOOKUP(C18,'Sales Master'!$B$3:$E$2481,4,0)</f>
        <v>DO!</v>
      </c>
      <c r="J18" s="497"/>
      <c r="K18" s="30">
        <f>VLOOKUP(C18,'Sales Master'!B$3:AA$530,26,0)</f>
        <v>8</v>
      </c>
      <c r="L18" s="64">
        <f>K18*G18</f>
        <v>8</v>
      </c>
      <c r="M18" s="65"/>
      <c r="N18" s="145">
        <f>VLOOKUP(C18,'Sales Master'!$B$3:$DA$2272,104,0)</f>
        <v>2.15</v>
      </c>
      <c r="O18" s="145">
        <f>K18-N18</f>
        <v>5.85</v>
      </c>
      <c r="P18" s="145">
        <f>O18*G18</f>
        <v>5.85</v>
      </c>
    </row>
    <row r="19" spans="2:16" ht="20.149999999999999" customHeight="1" x14ac:dyDescent="0.45">
      <c r="B19" s="29"/>
      <c r="C19" s="212" t="s">
        <v>877</v>
      </c>
      <c r="D19" s="461" t="str">
        <f>VLOOKUP(C19,'Sales Master'!B$3:D$530,2,)</f>
        <v>Small Sago 小丸</v>
      </c>
      <c r="E19" s="461"/>
      <c r="F19" s="461"/>
      <c r="G19" s="76">
        <v>1</v>
      </c>
      <c r="H19" s="186" t="str">
        <f>VLOOKUP(C19,'Sales Master'!$B$3:$F$2481,5,0)</f>
        <v>5 KG</v>
      </c>
      <c r="I19" s="497" t="str">
        <f>VLOOKUP(C19,'Sales Master'!$B$3:$E$2481,4,0)</f>
        <v>-</v>
      </c>
      <c r="J19" s="497"/>
      <c r="K19" s="30">
        <f>VLOOKUP(C19,'Sales Master'!B$3:AA$530,26,0)</f>
        <v>13.5</v>
      </c>
      <c r="L19" s="64">
        <f t="shared" ref="L19:L20" si="0">K19*G19</f>
        <v>13.5</v>
      </c>
      <c r="M19" s="65"/>
      <c r="N19" s="145">
        <f>VLOOKUP(C19,'Sales Master'!$B$3:$DA$2272,104,0)</f>
        <v>0.70833333333333326</v>
      </c>
      <c r="O19" s="145">
        <f t="shared" ref="O19:O20" si="1">K19-N19</f>
        <v>12.791666666666666</v>
      </c>
      <c r="P19" s="145">
        <f t="shared" ref="P19:P20" si="2">O19*G19</f>
        <v>12.791666666666666</v>
      </c>
    </row>
    <row r="20" spans="2:16" ht="20.149999999999999" customHeight="1" x14ac:dyDescent="0.45">
      <c r="B20" s="29"/>
      <c r="C20" s="212" t="s">
        <v>2246</v>
      </c>
      <c r="D20" s="461" t="str">
        <f>VLOOKUP(C20,'Sales Master'!B$3:D$530,2,)</f>
        <v>Pomelo in Syrup 柚子</v>
      </c>
      <c r="E20" s="461"/>
      <c r="F20" s="461"/>
      <c r="G20" s="76">
        <v>1</v>
      </c>
      <c r="H20" s="186" t="str">
        <f>VLOOKUP(C20,'Sales Master'!$B$3:$F$2481,5,0)</f>
        <v>(850gm x 12)/ Ctn箱</v>
      </c>
      <c r="I20" s="497" t="str">
        <f>VLOOKUP(C20,'Sales Master'!$B$3:$E$2481,4,0)</f>
        <v>GoldenBoy</v>
      </c>
      <c r="J20" s="497"/>
      <c r="K20" s="30">
        <f>VLOOKUP(C20,'Sales Master'!B$3:AA$530,26,0)</f>
        <v>50</v>
      </c>
      <c r="L20" s="64">
        <f t="shared" si="0"/>
        <v>50</v>
      </c>
      <c r="M20" s="65"/>
      <c r="N20" s="145">
        <f>VLOOKUP(C20,'Sales Master'!$B$3:$DA$2272,104,0)</f>
        <v>42</v>
      </c>
      <c r="O20" s="145">
        <f t="shared" si="1"/>
        <v>8</v>
      </c>
      <c r="P20" s="145">
        <f t="shared" si="2"/>
        <v>8</v>
      </c>
    </row>
    <row r="21" spans="2:16" ht="20.149999999999999" customHeight="1" x14ac:dyDescent="0.45">
      <c r="B21" s="29"/>
      <c r="C21" s="212" t="s">
        <v>2201</v>
      </c>
      <c r="D21" s="461" t="str">
        <f>VLOOKUP(C21,'Sales Master'!B$3:D$530,2,)</f>
        <v>Coconut Sugar Syrup 椰糖浆</v>
      </c>
      <c r="E21" s="461"/>
      <c r="F21" s="461"/>
      <c r="G21" s="76">
        <v>1</v>
      </c>
      <c r="H21" s="186" t="str">
        <f>VLOOKUP(C21,'Sales Master'!$B$3:$F$2481,5,0)</f>
        <v>GW: 5 KG/ Btl支</v>
      </c>
      <c r="I21" s="497" t="str">
        <f>VLOOKUP(C21,'Sales Master'!$B$3:$E$2481,4,0)</f>
        <v>DO!</v>
      </c>
      <c r="J21" s="497"/>
      <c r="K21" s="30">
        <f>VLOOKUP(C21,'Sales Master'!B$3:AA$530,26,0)</f>
        <v>16</v>
      </c>
      <c r="L21" s="64">
        <f>K21*G21</f>
        <v>16</v>
      </c>
      <c r="M21" s="65"/>
      <c r="N21" s="145">
        <f>VLOOKUP(C21,'Sales Master'!$B$3:$DA$2272,104,0)</f>
        <v>8.89</v>
      </c>
      <c r="O21" s="145">
        <f>K21-N21</f>
        <v>7.1099999999999994</v>
      </c>
      <c r="P21" s="145">
        <f>O21*G21</f>
        <v>7.1099999999999994</v>
      </c>
    </row>
    <row r="22" spans="2:16" ht="20.149999999999999" customHeight="1" x14ac:dyDescent="0.45">
      <c r="B22" s="29"/>
      <c r="C22" s="212" t="s">
        <v>2084</v>
      </c>
      <c r="D22" s="498" t="str">
        <f>VLOOKUP(C22,'Sales Master'!B$3:D$530,2,)</f>
        <v>BLACK SESAME PASTE 黑芝麻糊</v>
      </c>
      <c r="E22" s="498"/>
      <c r="F22" s="498"/>
      <c r="G22" s="76">
        <v>1</v>
      </c>
      <c r="H22" s="186" t="str">
        <f>VLOOKUP(C22,'Sales Master'!$B$3:$F$2481,5,0)</f>
        <v>800 GM/ Pkt包</v>
      </c>
      <c r="I22" s="497" t="str">
        <f>VLOOKUP(C22,'Sales Master'!$B$3:$E$2481,4,0)</f>
        <v>DO!</v>
      </c>
      <c r="J22" s="497"/>
      <c r="K22" s="30">
        <f>VLOOKUP(C22,'Sales Master'!B$3:AA$530,26,0)</f>
        <v>6.4</v>
      </c>
      <c r="L22" s="64">
        <f>K22*G22</f>
        <v>6.4</v>
      </c>
      <c r="M22" s="65"/>
      <c r="N22" s="145">
        <f>VLOOKUP(C22,'Sales Master'!$B$3:$DA$2272,104,0)</f>
        <v>0</v>
      </c>
      <c r="O22" s="145">
        <f>K22-N22</f>
        <v>6.4</v>
      </c>
      <c r="P22" s="145">
        <f>O22*G22</f>
        <v>6.4</v>
      </c>
    </row>
    <row r="23" spans="2:16" ht="20.149999999999999" customHeight="1" x14ac:dyDescent="0.45">
      <c r="B23" s="29"/>
      <c r="C23" s="212" t="s">
        <v>2303</v>
      </c>
      <c r="D23" s="461" t="str">
        <f>VLOOKUP(C23,'Sales Master'!B$3:D$530,2,)</f>
        <v>Herbal Jelly 菊花罗汉果冻</v>
      </c>
      <c r="E23" s="461"/>
      <c r="F23" s="461"/>
      <c r="G23" s="76">
        <v>2</v>
      </c>
      <c r="H23" s="186" t="str">
        <f>VLOOKUP(C23,'Sales Master'!$B$3:$F$2481,5,0)</f>
        <v>230 GM/ Bowl</v>
      </c>
      <c r="I23" s="497" t="str">
        <f>VLOOKUP(C23,'Sales Master'!$B$3:$E$2481,4,0)</f>
        <v>DO!</v>
      </c>
      <c r="J23" s="497"/>
      <c r="K23" s="30">
        <f>VLOOKUP(C23,'Sales Master'!B$3:AA$530,26,0)</f>
        <v>1.5</v>
      </c>
      <c r="L23" s="64">
        <f>K23*G23</f>
        <v>3</v>
      </c>
      <c r="M23" s="65"/>
      <c r="N23" s="145">
        <f>VLOOKUP(C23,'Sales Master'!$B$3:$DA$2272,104,0)</f>
        <v>0</v>
      </c>
      <c r="O23" s="145">
        <f>K23-N23</f>
        <v>1.5</v>
      </c>
      <c r="P23" s="145">
        <f>O23*G23</f>
        <v>3</v>
      </c>
    </row>
    <row r="24" spans="2:16" ht="20.149999999999999" customHeight="1" x14ac:dyDescent="0.45">
      <c r="B24" s="29"/>
      <c r="C24" s="212" t="s">
        <v>2307</v>
      </c>
      <c r="D24" s="499" t="str">
        <f>VLOOKUP(C24,'Sales Master'!B$3:D$530,2,)</f>
        <v>Almond Jelly with Longan 龙眼杏仁果冻</v>
      </c>
      <c r="E24" s="499"/>
      <c r="F24" s="499"/>
      <c r="G24" s="76">
        <v>2</v>
      </c>
      <c r="H24" s="186" t="str">
        <f>VLOOKUP(C24,'Sales Master'!$B$3:$F$2481,5,0)</f>
        <v>230 GM/ Bowl</v>
      </c>
      <c r="I24" s="497" t="str">
        <f>VLOOKUP(C24,'Sales Master'!$B$3:$E$2481,4,0)</f>
        <v>DO!</v>
      </c>
      <c r="J24" s="497"/>
      <c r="K24" s="30">
        <f>VLOOKUP(C24,'Sales Master'!B$3:AA$530,26,0)</f>
        <v>2.5</v>
      </c>
      <c r="L24" s="64" t="s">
        <v>2306</v>
      </c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 t="s">
        <v>2309</v>
      </c>
      <c r="E25" s="461"/>
      <c r="F25" s="461"/>
      <c r="G25" s="76">
        <v>1</v>
      </c>
      <c r="H25" s="186" t="s">
        <v>2308</v>
      </c>
      <c r="I25" s="497" t="s">
        <v>34</v>
      </c>
      <c r="J25" s="497"/>
      <c r="K25" s="30"/>
      <c r="L25" s="64" t="s">
        <v>2306</v>
      </c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SUM(L14:L27)</f>
        <v>96.9</v>
      </c>
      <c r="M31" s="63">
        <f>SUM(P18:P27)</f>
        <v>43.151666666666664</v>
      </c>
      <c r="N31" s="133">
        <f>M31/L31</f>
        <v>0.44532163742690051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96.9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8.7210000000000001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105.62100000000001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6:F26"/>
    <mergeCell ref="I26:J26"/>
    <mergeCell ref="D22:F22"/>
    <mergeCell ref="D23:F23"/>
    <mergeCell ref="I22:J22"/>
    <mergeCell ref="I23:J23"/>
    <mergeCell ref="D24:F24"/>
    <mergeCell ref="I24:J24"/>
    <mergeCell ref="D25:F25"/>
    <mergeCell ref="I25:J25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43B2-865E-4004-BA89-9A36D91D267E}">
  <sheetPr>
    <tabColor rgb="FF7030A0"/>
    <pageSetUpPr fitToPage="1"/>
  </sheetPr>
  <dimension ref="B1:M41"/>
  <sheetViews>
    <sheetView topLeftCell="A7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2262</v>
      </c>
      <c r="J10" s="24" t="s">
        <v>27</v>
      </c>
      <c r="K10" s="493">
        <v>202501145</v>
      </c>
      <c r="L10" s="494"/>
    </row>
    <row r="11" spans="2:12" ht="20.149999999999999" customHeight="1" x14ac:dyDescent="0.45">
      <c r="B11" s="477" t="s">
        <v>2310</v>
      </c>
      <c r="C11" s="478"/>
      <c r="D11" s="479"/>
      <c r="E11" s="25"/>
      <c r="F11" s="480" t="str">
        <f>VLOOKUP(H10,'Delivery Location'!A$4:N$460,2,0)</f>
        <v>Paradise Hotpot Pte Ltd                                                                             Westgate Drive, Westgate, #03-10/11 Singapore 608532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2292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908</v>
      </c>
      <c r="D18" s="461" t="str">
        <f>VLOOKUP(C18,'Sales Master'!B$3:D$530,2,)</f>
        <v>Coco Syrup 可可</v>
      </c>
      <c r="E18" s="461"/>
      <c r="F18" s="461"/>
      <c r="G18" s="17">
        <v>15</v>
      </c>
      <c r="H18" s="56" t="str">
        <f>VLOOKUP(C18,'Sales Master'!$B$3:$F$2481,5,0)</f>
        <v>1 Btl</v>
      </c>
      <c r="I18" s="491" t="str">
        <f>VLOOKUP(C18,'Sales Master'!$B$3:$E$2481,4,0)</f>
        <v>Hershey's</v>
      </c>
      <c r="J18" s="491"/>
      <c r="K18" s="30">
        <f>VLOOKUP(C18,'Sales Master'!$B$3:$BJ$530,61,0)</f>
        <v>5</v>
      </c>
      <c r="L18" s="31">
        <f>K18*G18</f>
        <v>75</v>
      </c>
    </row>
    <row r="19" spans="2:13" ht="20.149999999999999" customHeight="1" x14ac:dyDescent="0.45">
      <c r="B19" s="29"/>
      <c r="C19" s="212" t="s">
        <v>2263</v>
      </c>
      <c r="D19" s="461" t="str">
        <f>VLOOKUP(C19,'Sales Master'!B$3:D$530,2,)</f>
        <v>Strawberry Syrup 草莓</v>
      </c>
      <c r="E19" s="461"/>
      <c r="F19" s="461"/>
      <c r="G19" s="17">
        <v>5</v>
      </c>
      <c r="H19" s="56" t="str">
        <f>VLOOKUP(C19,'Sales Master'!$B$3:$F$2481,5,0)</f>
        <v>1 Btl</v>
      </c>
      <c r="I19" s="491" t="str">
        <f>VLOOKUP(C19,'Sales Master'!$B$3:$E$2481,4,0)</f>
        <v>Hershey's</v>
      </c>
      <c r="J19" s="491"/>
      <c r="K19" s="30">
        <f>VLOOKUP(C19,'Sales Master'!$B$3:$BJ$530,61,0)</f>
        <v>5</v>
      </c>
      <c r="L19" s="31">
        <f>K19*G19</f>
        <v>25</v>
      </c>
    </row>
    <row r="20" spans="2:13" ht="20.149999999999999" customHeight="1" x14ac:dyDescent="0.45">
      <c r="B20" s="29"/>
      <c r="C20" s="212"/>
      <c r="D20" s="492"/>
      <c r="E20" s="492"/>
      <c r="F20" s="492"/>
      <c r="G20" s="17"/>
      <c r="H20" s="56"/>
      <c r="I20" s="491"/>
      <c r="J20" s="491"/>
      <c r="K20" s="30"/>
      <c r="L20" s="31"/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491"/>
      <c r="J22" s="491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90"/>
      <c r="E27" s="490"/>
      <c r="F27" s="49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100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100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109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D27:F27"/>
    <mergeCell ref="J29:K29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7D2-5194-407A-B607-C1C2AFC79A7B}">
  <sheetPr>
    <tabColor rgb="FF7030A0"/>
    <pageSetUpPr fitToPage="1"/>
  </sheetPr>
  <dimension ref="B1:M41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2273</v>
      </c>
      <c r="J10" s="24" t="s">
        <v>27</v>
      </c>
      <c r="K10" s="493">
        <v>202501210</v>
      </c>
      <c r="L10" s="494"/>
    </row>
    <row r="11" spans="2:12" ht="20.149999999999999" customHeight="1" x14ac:dyDescent="0.45">
      <c r="B11" s="477" t="s">
        <v>2275</v>
      </c>
      <c r="C11" s="478"/>
      <c r="D11" s="479"/>
      <c r="E11" s="25"/>
      <c r="F11" s="480" t="str">
        <f>VLOOKUP(H10,'Delivery Location'!A$4:N$460,2,0)</f>
        <v>Old Chang Kee Singapore Pte. Ltd.                   2 Woodlands Terrace,                 Singapore 738427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1088</v>
      </c>
      <c r="D18" s="564" t="str">
        <f>VLOOKUP(C18,'Sales Master'!B$3:D$530,2,)</f>
        <v>Chendol CUSTOM MADE 浆咯</v>
      </c>
      <c r="E18" s="564"/>
      <c r="F18" s="564"/>
      <c r="G18" s="17">
        <v>2</v>
      </c>
      <c r="H18" s="56" t="str">
        <f>VLOOKUP(C18,'Sales Master'!$B$3:$F$2481,5,0)</f>
        <v>(1500:500)2KG</v>
      </c>
      <c r="I18" s="491" t="str">
        <f>VLOOKUP(C18,'Sales Master'!$B$3:$E$2481,4,0)</f>
        <v>DO!</v>
      </c>
      <c r="J18" s="491"/>
      <c r="K18" s="30">
        <f>VLOOKUP(C18,'Sales Master'!$B$3:$BS$530,70,0)</f>
        <v>12</v>
      </c>
      <c r="L18" s="31">
        <f>K18*G18</f>
        <v>24</v>
      </c>
    </row>
    <row r="19" spans="2:13" ht="20.149999999999999" customHeight="1" x14ac:dyDescent="0.45">
      <c r="B19" s="29"/>
      <c r="C19" s="212" t="s">
        <v>2276</v>
      </c>
      <c r="D19" s="502" t="str">
        <f>VLOOKUP(C19,'Sales Master'!B$3:D$530,2,)</f>
        <v>3 Colours Taro/ Sweet Potato Ball</v>
      </c>
      <c r="E19" s="502"/>
      <c r="F19" s="502"/>
      <c r="G19" s="17">
        <v>4</v>
      </c>
      <c r="H19" s="56" t="str">
        <f>VLOOKUP(C19,'Sales Master'!$B$3:$F$2481,5,0)</f>
        <v>600 GM/ Bag包</v>
      </c>
      <c r="I19" s="491" t="str">
        <f>VLOOKUP(C19,'Sales Master'!$B$3:$E$2481,4,0)</f>
        <v>DO!</v>
      </c>
      <c r="J19" s="491"/>
      <c r="K19" s="30">
        <f>VLOOKUP(C19,'Sales Master'!$B$3:$BS$530,70,0)</f>
        <v>10</v>
      </c>
      <c r="L19" s="31">
        <f>K19*G19</f>
        <v>40</v>
      </c>
    </row>
    <row r="20" spans="2:13" ht="20.149999999999999" customHeight="1" x14ac:dyDescent="0.45">
      <c r="B20" s="29"/>
      <c r="C20" s="212" t="s">
        <v>756</v>
      </c>
      <c r="D20" s="461" t="str">
        <f>VLOOKUP(C20,'Sales Master'!B$3:D$530,2,)</f>
        <v>3Q Konjac Jelly</v>
      </c>
      <c r="E20" s="461"/>
      <c r="F20" s="461"/>
      <c r="G20" s="17">
        <v>2</v>
      </c>
      <c r="H20" s="56" t="str">
        <f>VLOOKUP(C20,'Sales Master'!$B$3:$F$2481,5,0)</f>
        <v>4 KG/ Tub桶</v>
      </c>
      <c r="I20" s="491" t="str">
        <f>VLOOKUP(C20,'Sales Master'!$B$3:$E$2481,4,0)</f>
        <v>T1</v>
      </c>
      <c r="J20" s="491"/>
      <c r="K20" s="30">
        <f>VLOOKUP(C20,'Sales Master'!$B$3:$BS$530,70,0)</f>
        <v>15</v>
      </c>
      <c r="L20" s="31">
        <f>K20*G20</f>
        <v>30</v>
      </c>
    </row>
    <row r="21" spans="2:13" ht="20.149999999999999" customHeight="1" x14ac:dyDescent="0.45">
      <c r="B21" s="29"/>
      <c r="C21" s="212" t="s">
        <v>759</v>
      </c>
      <c r="D21" s="525" t="str">
        <f>VLOOKUP(C21,'Sales Master'!B$3:D$530,2,)</f>
        <v>Honey Pearl - Black 蜜糖珍珠-黑</v>
      </c>
      <c r="E21" s="525"/>
      <c r="F21" s="525"/>
      <c r="G21" s="17">
        <v>2</v>
      </c>
      <c r="H21" s="56" t="str">
        <f>VLOOKUP(C21,'Sales Master'!$B$3:$F$2481,5,0)</f>
        <v>1 KG/ Bag包</v>
      </c>
      <c r="I21" s="491" t="str">
        <f>VLOOKUP(C21,'Sales Master'!$B$3:$E$2481,4,0)</f>
        <v>-</v>
      </c>
      <c r="J21" s="491"/>
      <c r="K21" s="30">
        <f>VLOOKUP(C21,'Sales Master'!$B$3:$BS$530,70,0)</f>
        <v>8</v>
      </c>
      <c r="L21" s="31">
        <f>K21*G21</f>
        <v>16</v>
      </c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491"/>
      <c r="J22" s="491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90"/>
      <c r="E27" s="490"/>
      <c r="F27" s="490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110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110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119.9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22:F22"/>
    <mergeCell ref="I22:J22"/>
    <mergeCell ref="I18:J18"/>
    <mergeCell ref="J33:K33"/>
    <mergeCell ref="D18:F18"/>
    <mergeCell ref="D26:F26"/>
    <mergeCell ref="D27:F27"/>
    <mergeCell ref="J29:K29"/>
    <mergeCell ref="J31:K31"/>
    <mergeCell ref="D19:F19"/>
    <mergeCell ref="I19:J19"/>
    <mergeCell ref="D23:F23"/>
    <mergeCell ref="I23:J23"/>
    <mergeCell ref="D24:F24"/>
    <mergeCell ref="I24:J24"/>
    <mergeCell ref="D25:F25"/>
    <mergeCell ref="I25:J25"/>
    <mergeCell ref="D21:F21"/>
    <mergeCell ref="I21:J2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3A75-23F1-4F25-B631-5ED6FC8A5DE7}">
  <sheetPr>
    <tabColor rgb="FFFFC000"/>
    <pageSetUpPr fitToPage="1"/>
  </sheetPr>
  <dimension ref="B1:V41"/>
  <sheetViews>
    <sheetView topLeftCell="A7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2315</v>
      </c>
      <c r="J10" s="24" t="s">
        <v>27</v>
      </c>
      <c r="K10" s="493">
        <v>202501227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>FOOD REPUBLIC PTE LTD                                  Serangoon Nex@ICE SHOP                    23, Serangoon Central #B2-63                      Singapore 550683</v>
      </c>
      <c r="G11" s="481"/>
      <c r="H11" s="482"/>
      <c r="J11" s="26" t="s">
        <v>9</v>
      </c>
      <c r="K11" s="495">
        <v>45667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4500322234</v>
      </c>
      <c r="L12" s="464"/>
      <c r="N12" s="19" t="s">
        <v>992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1184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6</v>
      </c>
      <c r="H18" s="183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>K18*G18</f>
        <v>39</v>
      </c>
      <c r="N18" s="145">
        <f>VLOOKUP(C18,'Sales Master'!$B$3:$DA$2272,104,0)</f>
        <v>2.44</v>
      </c>
      <c r="O18" s="145">
        <f>K18-N18</f>
        <v>4.0600000000000005</v>
      </c>
      <c r="P18" s="145">
        <f>O18*G18</f>
        <v>24.360000000000003</v>
      </c>
      <c r="R18" s="170">
        <f>N18*G18*0.07</f>
        <v>1.0248000000000002</v>
      </c>
      <c r="S18" s="170">
        <f>N18*G18*0.08</f>
        <v>1.1712</v>
      </c>
      <c r="T18" s="93"/>
      <c r="U18" s="93"/>
      <c r="V18" s="93"/>
    </row>
    <row r="19" spans="2:22" ht="20.149999999999999" customHeight="1" x14ac:dyDescent="0.45">
      <c r="B19" s="58">
        <v>520695</v>
      </c>
      <c r="C19" s="212" t="str">
        <f>VLOOKUP(B19,'Sales Master'!A$3:B$530,2,0)</f>
        <v>P3001B</v>
      </c>
      <c r="D19" s="461" t="str">
        <f>VLOOKUP(C19,'Sales Master'!B$3:D$530,2,)</f>
        <v>Atap Seeds in Syrup 亚嗒子</v>
      </c>
      <c r="E19" s="461"/>
      <c r="F19" s="461"/>
      <c r="G19" s="76">
        <v>5</v>
      </c>
      <c r="H19" s="183" t="str">
        <f>VLOOKUP(C19,'Sales Master'!$B$3:$F$2413,5,0)</f>
        <v>NW(1.6:0.6) 2.2kg/ Bag包</v>
      </c>
      <c r="I19" s="462" t="str">
        <f>VLOOKUP(C19,'Sales Master'!$B$3:$E$2413,4,0)</f>
        <v>DO!</v>
      </c>
      <c r="J19" s="462"/>
      <c r="K19" s="83">
        <f>VLOOKUP(C19,'Sales Master'!B$3:I$530,8,0)</f>
        <v>10</v>
      </c>
      <c r="L19" s="84">
        <f>K19*G19</f>
        <v>50</v>
      </c>
      <c r="N19" s="145">
        <f>VLOOKUP(C19,'Sales Master'!$B$3:$DA$2272,104,0)</f>
        <v>7.3</v>
      </c>
      <c r="O19" s="145">
        <f>K19-N19</f>
        <v>2.7</v>
      </c>
      <c r="P19" s="145">
        <f>O19*G19</f>
        <v>13.5</v>
      </c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462"/>
      <c r="J22" s="462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104"/>
      <c r="C27" s="105"/>
      <c r="D27" s="454"/>
      <c r="E27" s="454"/>
      <c r="F27" s="454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89</v>
      </c>
      <c r="M29" s="63">
        <f>SUM(P18:P29)</f>
        <v>37.86</v>
      </c>
      <c r="N29" s="133">
        <f>M29/L29</f>
        <v>0.42539325842696629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89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8.01</v>
      </c>
    </row>
    <row r="33" spans="2:12" ht="20.149999999999999" customHeight="1" thickBot="1" x14ac:dyDescent="0.5">
      <c r="B33" s="10" t="s">
        <v>700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97.01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690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J31:K31"/>
    <mergeCell ref="J33:K33"/>
    <mergeCell ref="D25:F25"/>
    <mergeCell ref="I25:J25"/>
    <mergeCell ref="D26:F26"/>
    <mergeCell ref="I26:J26"/>
    <mergeCell ref="D27:F27"/>
    <mergeCell ref="J29:K29"/>
    <mergeCell ref="D22:F22"/>
    <mergeCell ref="I22:J22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K14:L14"/>
    <mergeCell ref="B15:D15"/>
    <mergeCell ref="K15:L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18:C19">
    <cfRule type="duplicateValues" dxfId="13" priority="1"/>
  </conditionalFormatting>
  <conditionalFormatting sqref="C20:C21">
    <cfRule type="duplicateValues" dxfId="12" priority="6"/>
  </conditionalFormatting>
  <conditionalFormatting sqref="C22">
    <cfRule type="duplicateValues" dxfId="11" priority="4"/>
  </conditionalFormatting>
  <conditionalFormatting sqref="C23">
    <cfRule type="duplicateValues" dxfId="10" priority="3"/>
  </conditionalFormatting>
  <conditionalFormatting sqref="C24">
    <cfRule type="duplicateValues" dxfId="9" priority="2"/>
  </conditionalFormatting>
  <conditionalFormatting sqref="C26">
    <cfRule type="duplicateValues" dxfId="8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6551-8FB2-4C72-AFB0-E310DC6E5415}">
  <sheetPr>
    <tabColor rgb="FFFF0000"/>
    <pageSetUpPr fitToPage="1"/>
  </sheetPr>
  <dimension ref="B1:V48"/>
  <sheetViews>
    <sheetView topLeftCell="A7" workbookViewId="0">
      <selection activeCell="K39" sqref="K3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</v>
      </c>
      <c r="J10" s="24" t="s">
        <v>27</v>
      </c>
      <c r="K10" s="493">
        <v>202311651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MOB: 97541469                                                                 4, WOODLANDS STREET 12        MARSILING MALL #01-55                 SINGAPORE 738620</v>
      </c>
      <c r="G11" s="481"/>
      <c r="H11" s="482"/>
      <c r="J11" s="26" t="s">
        <v>9</v>
      </c>
      <c r="K11" s="495">
        <v>45260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/>
      <c r="C15" s="509"/>
      <c r="D15" s="510"/>
      <c r="E15" s="21"/>
      <c r="F15" s="465"/>
      <c r="G15" s="466"/>
      <c r="H15" s="467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737</v>
      </c>
      <c r="D18" s="19" t="str">
        <f>VLOOKUP(C18,'Sales Master'!B$3:D$530,2,)</f>
        <v>Chendol 浆咯</v>
      </c>
      <c r="G18" s="76">
        <v>3</v>
      </c>
      <c r="H18" s="56" t="str">
        <f>VLOOKUP(C18,'Sales Master'!$B$3:$F$2413,5,0)</f>
        <v>NW(2.2:0.8) 3kg/ Bag包</v>
      </c>
      <c r="I18" s="491" t="str">
        <f>VLOOKUP(C18,'Sales Master'!$B$3:$E$2413,4,0)</f>
        <v>DO!</v>
      </c>
      <c r="J18" s="491"/>
      <c r="K18" s="30">
        <f>VLOOKUP($C18,'Sales Master'!$B3:$AA3024,26,0)</f>
        <v>7</v>
      </c>
      <c r="L18" s="64">
        <f>K18*G18</f>
        <v>21</v>
      </c>
      <c r="M18" s="65"/>
      <c r="N18" s="145">
        <f>VLOOKUP(C18,'Sales Master'!$B$3:$DA$2272,104,0)</f>
        <v>2.44</v>
      </c>
      <c r="O18" s="145">
        <f>K18-N18</f>
        <v>4.5600000000000005</v>
      </c>
      <c r="P18" s="145">
        <f>O18*G18</f>
        <v>13.680000000000001</v>
      </c>
      <c r="R18" s="19">
        <v>1</v>
      </c>
      <c r="S18" s="19" t="s">
        <v>54</v>
      </c>
      <c r="T18" s="19" t="s">
        <v>347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91"/>
      <c r="J19" s="491"/>
      <c r="K19" s="30"/>
      <c r="L19" s="64"/>
      <c r="M19" s="65"/>
      <c r="N19" s="145"/>
      <c r="O19" s="145"/>
      <c r="P19" s="145"/>
      <c r="R19" s="19">
        <v>2</v>
      </c>
      <c r="S19" s="19" t="s">
        <v>214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501"/>
      <c r="E20" s="501"/>
      <c r="F20" s="501"/>
      <c r="G20" s="76"/>
      <c r="H20" s="56"/>
      <c r="I20" s="491"/>
      <c r="J20" s="491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501"/>
      <c r="E21" s="501"/>
      <c r="F21" s="501"/>
      <c r="G21" s="76"/>
      <c r="H21" s="56"/>
      <c r="I21" s="491"/>
      <c r="J21" s="491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91"/>
      <c r="J22" s="491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449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91"/>
      <c r="J28" s="491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91"/>
      <c r="J29" s="491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91"/>
      <c r="J30" s="491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91"/>
      <c r="J31" s="491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91"/>
      <c r="J32" s="491"/>
      <c r="K32" s="30"/>
      <c r="L32" s="64"/>
      <c r="M32" s="65"/>
    </row>
    <row r="33" spans="2:14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474"/>
      <c r="J33" s="474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91"/>
      <c r="J34" s="491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SUM(L17:L33)</f>
        <v>21</v>
      </c>
      <c r="M36" s="63">
        <f>SUM(P18:P24)</f>
        <v>13.680000000000001</v>
      </c>
      <c r="N36" s="133">
        <f>M36/L36</f>
        <v>0.65142857142857147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J36:K36"/>
    <mergeCell ref="J38:K38"/>
    <mergeCell ref="J40:K40"/>
    <mergeCell ref="I30:J30"/>
    <mergeCell ref="I31:J31"/>
    <mergeCell ref="I32:J32"/>
    <mergeCell ref="D33:F33"/>
    <mergeCell ref="I33:J33"/>
    <mergeCell ref="I34:J34"/>
    <mergeCell ref="I24:J24"/>
    <mergeCell ref="I25:J25"/>
    <mergeCell ref="I26:J26"/>
    <mergeCell ref="I27:J27"/>
    <mergeCell ref="I28:J28"/>
    <mergeCell ref="I29:J29"/>
    <mergeCell ref="I23:J23"/>
    <mergeCell ref="K14:L14"/>
    <mergeCell ref="B15:D15"/>
    <mergeCell ref="D17:F17"/>
    <mergeCell ref="I17:J17"/>
    <mergeCell ref="I18:J18"/>
    <mergeCell ref="I19:J19"/>
    <mergeCell ref="D20:F20"/>
    <mergeCell ref="I20:J20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26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93" t="s">
        <v>1111</v>
      </c>
      <c r="L10" s="494"/>
    </row>
    <row r="11" spans="2:12" ht="20.149999999999999" customHeight="1" x14ac:dyDescent="0.45">
      <c r="B11" s="477" t="s">
        <v>1395</v>
      </c>
      <c r="C11" s="478"/>
      <c r="D11" s="479"/>
      <c r="E11" s="25"/>
      <c r="F11" s="480" t="s">
        <v>1396</v>
      </c>
      <c r="G11" s="481"/>
      <c r="H11" s="482"/>
      <c r="J11" s="26" t="s">
        <v>9</v>
      </c>
      <c r="K11" s="495">
        <v>44853</v>
      </c>
      <c r="L11" s="496"/>
    </row>
    <row r="12" spans="2:12" ht="20.149999999999999" customHeight="1" x14ac:dyDescent="0.45">
      <c r="B12" s="488" t="s">
        <v>1394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34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58"/>
      <c r="C18" s="17"/>
      <c r="D18" s="461" t="s">
        <v>1397</v>
      </c>
      <c r="E18" s="461"/>
      <c r="F18" s="461"/>
      <c r="G18" s="76">
        <v>5</v>
      </c>
      <c r="H18" s="82" t="s">
        <v>1398</v>
      </c>
      <c r="I18" s="446" t="s">
        <v>34</v>
      </c>
      <c r="J18" s="446"/>
      <c r="K18" s="83" t="s">
        <v>1111</v>
      </c>
      <c r="L18" s="96" t="s">
        <v>34</v>
      </c>
      <c r="N18" s="93" t="s">
        <v>318</v>
      </c>
      <c r="O18" s="93" t="s">
        <v>321</v>
      </c>
      <c r="P18" s="93"/>
      <c r="Q18" s="93"/>
      <c r="R18" s="93">
        <v>1</v>
      </c>
      <c r="S18" s="93" t="s">
        <v>218</v>
      </c>
      <c r="T18" s="93" t="s">
        <v>450</v>
      </c>
      <c r="U18" s="93"/>
      <c r="V18" s="93">
        <v>32</v>
      </c>
    </row>
    <row r="19" spans="2:22" ht="20.149999999999999" customHeight="1" x14ac:dyDescent="0.45">
      <c r="B19" s="58"/>
      <c r="C19" s="17"/>
      <c r="D19" s="461" t="s">
        <v>1397</v>
      </c>
      <c r="E19" s="461"/>
      <c r="F19" s="461"/>
      <c r="G19" s="76">
        <v>1</v>
      </c>
      <c r="H19" s="82" t="s">
        <v>1399</v>
      </c>
      <c r="I19" s="446" t="s">
        <v>34</v>
      </c>
      <c r="J19" s="446"/>
      <c r="K19" s="83" t="s">
        <v>1111</v>
      </c>
      <c r="L19" s="96" t="s">
        <v>34</v>
      </c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 t="s">
        <v>1400</v>
      </c>
      <c r="E20" s="461"/>
      <c r="F20" s="461"/>
      <c r="G20" s="76">
        <v>1</v>
      </c>
      <c r="H20" s="56" t="s">
        <v>1405</v>
      </c>
      <c r="I20" s="446" t="s">
        <v>34</v>
      </c>
      <c r="J20" s="446"/>
      <c r="K20" s="83" t="s">
        <v>1111</v>
      </c>
      <c r="L20" s="96" t="s">
        <v>34</v>
      </c>
    </row>
    <row r="21" spans="2:22" ht="20.149999999999999" customHeight="1" x14ac:dyDescent="0.45">
      <c r="B21" s="29"/>
      <c r="C21" s="17"/>
      <c r="D21" s="461" t="s">
        <v>1401</v>
      </c>
      <c r="E21" s="461"/>
      <c r="F21" s="461"/>
      <c r="G21" s="76">
        <v>1</v>
      </c>
      <c r="H21" s="56" t="s">
        <v>1405</v>
      </c>
      <c r="I21" s="446" t="s">
        <v>34</v>
      </c>
      <c r="J21" s="446"/>
      <c r="K21" s="83" t="s">
        <v>1111</v>
      </c>
      <c r="L21" s="96" t="s">
        <v>34</v>
      </c>
    </row>
    <row r="22" spans="2:22" ht="20.149999999999999" customHeight="1" x14ac:dyDescent="0.45">
      <c r="B22" s="29"/>
      <c r="C22" s="17"/>
      <c r="D22" s="461" t="s">
        <v>1402</v>
      </c>
      <c r="E22" s="461"/>
      <c r="F22" s="461"/>
      <c r="G22" s="76">
        <v>1</v>
      </c>
      <c r="H22" s="56" t="s">
        <v>1405</v>
      </c>
      <c r="I22" s="446" t="s">
        <v>34</v>
      </c>
      <c r="J22" s="446"/>
      <c r="K22" s="83" t="s">
        <v>1111</v>
      </c>
      <c r="L22" s="96" t="s">
        <v>34</v>
      </c>
    </row>
    <row r="23" spans="2:22" ht="20.149999999999999" customHeight="1" x14ac:dyDescent="0.45">
      <c r="B23" s="29"/>
      <c r="C23" s="17"/>
      <c r="D23" s="461" t="s">
        <v>1403</v>
      </c>
      <c r="E23" s="461"/>
      <c r="F23" s="461"/>
      <c r="G23" s="76">
        <v>1</v>
      </c>
      <c r="H23" s="56" t="s">
        <v>1303</v>
      </c>
      <c r="I23" s="446" t="s">
        <v>34</v>
      </c>
      <c r="J23" s="446"/>
      <c r="K23" s="83" t="s">
        <v>1111</v>
      </c>
      <c r="L23" s="96" t="s">
        <v>34</v>
      </c>
    </row>
    <row r="24" spans="2:22" ht="20.149999999999999" customHeight="1" x14ac:dyDescent="0.45">
      <c r="B24" s="29"/>
      <c r="C24" s="17"/>
      <c r="D24" s="461" t="s">
        <v>1403</v>
      </c>
      <c r="E24" s="461"/>
      <c r="F24" s="461"/>
      <c r="G24" s="76">
        <v>1</v>
      </c>
      <c r="H24" s="56" t="s">
        <v>1405</v>
      </c>
      <c r="I24" s="446" t="s">
        <v>34</v>
      </c>
      <c r="J24" s="446"/>
      <c r="K24" s="83" t="s">
        <v>1111</v>
      </c>
      <c r="L24" s="96" t="s">
        <v>34</v>
      </c>
    </row>
    <row r="25" spans="2:22" ht="20.149999999999999" customHeight="1" x14ac:dyDescent="0.45">
      <c r="B25" s="29"/>
      <c r="C25" s="17"/>
      <c r="D25" s="461" t="s">
        <v>1404</v>
      </c>
      <c r="E25" s="461"/>
      <c r="F25" s="461"/>
      <c r="G25" s="76">
        <v>1</v>
      </c>
      <c r="H25" s="56" t="s">
        <v>1405</v>
      </c>
      <c r="I25" s="446" t="s">
        <v>34</v>
      </c>
      <c r="J25" s="446"/>
      <c r="K25" s="83" t="s">
        <v>1111</v>
      </c>
      <c r="L25" s="96" t="s">
        <v>34</v>
      </c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454"/>
      <c r="E30" s="454"/>
      <c r="F30" s="454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0</v>
      </c>
      <c r="N32" s="63" t="s">
        <v>460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2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0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690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" priority="3"/>
  </conditionalFormatting>
  <conditionalFormatting sqref="C19">
    <cfRule type="duplicateValues" dxfId="6" priority="6"/>
  </conditionalFormatting>
  <conditionalFormatting sqref="C20">
    <cfRule type="duplicateValues" dxfId="5" priority="4"/>
  </conditionalFormatting>
  <conditionalFormatting sqref="C21">
    <cfRule type="duplicateValues" dxfId="4" priority="5"/>
  </conditionalFormatting>
  <conditionalFormatting sqref="C22">
    <cfRule type="duplicateValues" dxfId="3" priority="2"/>
  </conditionalFormatting>
  <conditionalFormatting sqref="C23">
    <cfRule type="duplicateValues" dxfId="2" priority="1"/>
  </conditionalFormatting>
  <conditionalFormatting sqref="C25">
    <cfRule type="duplicateValues" dxfId="1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2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7265625" style="19" customWidth="1"/>
    <col min="7" max="7" width="8.54296875" style="19" customWidth="1"/>
    <col min="8" max="8" width="15.54296875" style="19" customWidth="1"/>
    <col min="9" max="9" width="1.26953125" style="19" customWidth="1"/>
    <col min="10" max="10" width="13.17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</v>
      </c>
      <c r="J10" s="24" t="s">
        <v>27</v>
      </c>
      <c r="K10" s="493">
        <v>202201429</v>
      </c>
      <c r="L10" s="494"/>
    </row>
    <row r="11" spans="2:12" ht="20.149999999999999" customHeight="1" x14ac:dyDescent="0.45">
      <c r="B11" s="477" t="s">
        <v>362</v>
      </c>
      <c r="C11" s="478"/>
      <c r="D11" s="479"/>
      <c r="E11" s="25"/>
      <c r="F11" s="480" t="str">
        <f>VLOOKUP(H10,'Delivery Location'!A$4:N$460,2,0)</f>
        <v>Tea Tree Café Pte Ltd                               Block 4012, Ang Mo Kio Ave 10         #01-05 TechPlace 1 Singapore 569628</v>
      </c>
      <c r="G11" s="481"/>
      <c r="H11" s="482"/>
      <c r="J11" s="26" t="s">
        <v>9</v>
      </c>
      <c r="K11" s="504" t="s">
        <v>1231</v>
      </c>
      <c r="L11" s="464"/>
    </row>
    <row r="12" spans="2:12" ht="20.149999999999999" customHeight="1" x14ac:dyDescent="0.45">
      <c r="B12" s="488" t="s">
        <v>363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1232</v>
      </c>
      <c r="L12" s="464"/>
    </row>
    <row r="13" spans="2:12" ht="20.149999999999999" customHeight="1" x14ac:dyDescent="0.45">
      <c r="B13" s="488" t="s">
        <v>364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719</v>
      </c>
      <c r="L13" s="464"/>
    </row>
    <row r="14" spans="2:12" ht="20.149999999999999" customHeight="1" x14ac:dyDescent="0.45">
      <c r="B14" s="488" t="s">
        <v>365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383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736</v>
      </c>
      <c r="D18" s="461" t="str">
        <f>VLOOKUP(C18,'Sales Master'!B$3:D$530,2,)</f>
        <v>Bobo ChaCha Cubes 摩摩喳喳</v>
      </c>
      <c r="E18" s="461"/>
      <c r="F18" s="461"/>
      <c r="G18" s="17">
        <v>16</v>
      </c>
      <c r="H18" s="186" t="str">
        <f>VLOOKUP(C18,'Sales Master'!$B$3:$F$2481,5,0)</f>
        <v>800 GM/ Bag包</v>
      </c>
      <c r="I18" s="497" t="str">
        <f>VLOOKUP(C18,'Sales Master'!$B$3:$E$2481,4,0)</f>
        <v>DO!</v>
      </c>
      <c r="J18" s="497"/>
      <c r="K18" s="80">
        <f>VLOOKUP(C18,'Sales Master'!B$3:Y$530,24,0)</f>
        <v>6.5</v>
      </c>
      <c r="L18" s="64">
        <f>K18*G18</f>
        <v>104</v>
      </c>
      <c r="M18" s="81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8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80"/>
      <c r="L20" s="64"/>
      <c r="M20" s="65"/>
    </row>
    <row r="21" spans="2:15" ht="20.149999999999999" customHeight="1" x14ac:dyDescent="0.45">
      <c r="B21" s="29"/>
      <c r="C21" s="17"/>
      <c r="G21" s="17"/>
      <c r="H21" s="56"/>
      <c r="I21" s="17"/>
      <c r="J21" s="17"/>
      <c r="K21" s="80"/>
      <c r="L21" s="64"/>
      <c r="M21" s="65"/>
    </row>
    <row r="22" spans="2:15" ht="20.149999999999999" customHeight="1" x14ac:dyDescent="0.45">
      <c r="B22" s="29"/>
      <c r="C22" s="17"/>
      <c r="G22" s="17"/>
      <c r="H22" s="56"/>
      <c r="I22" s="17"/>
      <c r="J22" s="17"/>
      <c r="K22" s="80"/>
      <c r="L22" s="64"/>
      <c r="M22" s="65"/>
    </row>
    <row r="23" spans="2:15" ht="20.149999999999999" customHeight="1" x14ac:dyDescent="0.45">
      <c r="B23" s="29"/>
      <c r="C23" s="17"/>
      <c r="G23" s="17"/>
      <c r="H23" s="56"/>
      <c r="I23" s="17"/>
      <c r="J23" s="17"/>
      <c r="K23" s="80"/>
      <c r="L23" s="64"/>
      <c r="M23" s="65"/>
    </row>
    <row r="24" spans="2:15" ht="20.149999999999999" customHeight="1" x14ac:dyDescent="0.45">
      <c r="B24" s="29"/>
      <c r="C24" s="17"/>
      <c r="G24" s="17"/>
      <c r="H24" s="56"/>
      <c r="I24" s="17"/>
      <c r="J24" s="17"/>
      <c r="K24" s="8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80"/>
      <c r="L25" s="64"/>
      <c r="M25" s="65"/>
    </row>
    <row r="26" spans="2:15" ht="20.149999999999999" customHeight="1" x14ac:dyDescent="0.45">
      <c r="B26" s="29"/>
      <c r="C26" s="599" t="s">
        <v>1233</v>
      </c>
      <c r="D26" s="599"/>
      <c r="E26" s="599"/>
      <c r="F26" s="599"/>
      <c r="G26" s="599"/>
      <c r="H26" s="599"/>
      <c r="I26" s="599"/>
      <c r="J26" s="599"/>
      <c r="K26" s="599"/>
      <c r="L26" s="64"/>
      <c r="M26" s="65"/>
    </row>
    <row r="27" spans="2:15" ht="20.149999999999999" customHeight="1" x14ac:dyDescent="0.45">
      <c r="B27" s="29"/>
      <c r="C27" s="599" t="s">
        <v>1234</v>
      </c>
      <c r="D27" s="599"/>
      <c r="E27" s="599"/>
      <c r="F27" s="599"/>
      <c r="G27" s="599"/>
      <c r="H27" s="599"/>
      <c r="I27" s="599"/>
      <c r="J27" s="599"/>
      <c r="K27" s="599"/>
      <c r="L27" s="64"/>
    </row>
    <row r="28" spans="2:15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SUM(L17:L27)</f>
        <v>104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/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0">
    <mergeCell ref="K13:L13"/>
    <mergeCell ref="B14:D14"/>
    <mergeCell ref="K14:L14"/>
    <mergeCell ref="B15:D15"/>
    <mergeCell ref="K15:L15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28" workbookViewId="0">
      <selection activeCell="J37" sqref="J37: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5" spans="2:20" ht="19" thickBot="1" x14ac:dyDescent="0.5">
      <c r="B5" s="18"/>
    </row>
    <row r="6" spans="2:20" ht="18" customHeight="1" thickTop="1" thickBot="1" x14ac:dyDescent="0.5">
      <c r="B6" s="20" t="s">
        <v>7</v>
      </c>
      <c r="C6" s="20"/>
      <c r="D6" s="21"/>
      <c r="E6" s="21"/>
      <c r="F6" s="22" t="s">
        <v>8</v>
      </c>
      <c r="G6" s="23"/>
      <c r="H6" s="23" t="s">
        <v>134</v>
      </c>
      <c r="J6" s="24" t="s">
        <v>27</v>
      </c>
      <c r="K6" s="493">
        <v>201910001</v>
      </c>
      <c r="L6" s="494"/>
    </row>
    <row r="7" spans="2:20" ht="20.149999999999999" customHeight="1" x14ac:dyDescent="0.45">
      <c r="B7" s="477" t="s">
        <v>589</v>
      </c>
      <c r="C7" s="478"/>
      <c r="D7" s="479"/>
      <c r="E7" s="25"/>
      <c r="F7" s="480" t="s">
        <v>590</v>
      </c>
      <c r="G7" s="481"/>
      <c r="H7" s="482"/>
      <c r="J7" s="26" t="s">
        <v>9</v>
      </c>
      <c r="K7" s="463" t="s">
        <v>588</v>
      </c>
      <c r="L7" s="464"/>
    </row>
    <row r="8" spans="2:20" ht="20.149999999999999" customHeight="1" x14ac:dyDescent="0.45">
      <c r="B8" s="488"/>
      <c r="C8" s="449"/>
      <c r="D8" s="489"/>
      <c r="E8" s="25"/>
      <c r="F8" s="483"/>
      <c r="G8" s="484"/>
      <c r="H8" s="485"/>
      <c r="J8" s="26" t="s">
        <v>145</v>
      </c>
      <c r="K8" s="463" t="s">
        <v>34</v>
      </c>
      <c r="L8" s="464"/>
    </row>
    <row r="9" spans="2:20" ht="20.149999999999999" customHeight="1" x14ac:dyDescent="0.45">
      <c r="B9" s="488"/>
      <c r="C9" s="449"/>
      <c r="D9" s="489"/>
      <c r="E9" s="25"/>
      <c r="F9" s="483"/>
      <c r="G9" s="484"/>
      <c r="H9" s="485"/>
      <c r="J9" s="26" t="s">
        <v>10</v>
      </c>
      <c r="K9" s="463" t="s">
        <v>12</v>
      </c>
      <c r="L9" s="464"/>
    </row>
    <row r="10" spans="2:20" ht="20.149999999999999" customHeight="1" x14ac:dyDescent="0.45">
      <c r="B10" s="488"/>
      <c r="C10" s="449"/>
      <c r="D10" s="489"/>
      <c r="E10" s="25"/>
      <c r="F10" s="483"/>
      <c r="G10" s="484"/>
      <c r="H10" s="485"/>
      <c r="J10" s="26" t="s">
        <v>28</v>
      </c>
      <c r="K10" s="463" t="s">
        <v>587</v>
      </c>
      <c r="L10" s="464"/>
    </row>
    <row r="11" spans="2:20" ht="18" customHeight="1" thickBot="1" x14ac:dyDescent="0.5">
      <c r="B11" s="508"/>
      <c r="C11" s="509"/>
      <c r="D11" s="510"/>
      <c r="E11" s="21"/>
      <c r="F11" s="465"/>
      <c r="G11" s="466"/>
      <c r="H11" s="467"/>
      <c r="J11" s="27" t="s">
        <v>11</v>
      </c>
      <c r="K11" s="468" t="s">
        <v>34</v>
      </c>
      <c r="L11" s="469"/>
    </row>
    <row r="12" spans="2:20" ht="19" thickBot="1" x14ac:dyDescent="0.5">
      <c r="J12" s="17"/>
      <c r="L12" s="19" t="s">
        <v>460</v>
      </c>
    </row>
    <row r="13" spans="2:20" ht="30" customHeight="1" thickBot="1" x14ac:dyDescent="0.5">
      <c r="B13" s="7" t="s">
        <v>2</v>
      </c>
      <c r="C13" s="8" t="s">
        <v>3</v>
      </c>
      <c r="D13" s="470" t="s">
        <v>4</v>
      </c>
      <c r="E13" s="471"/>
      <c r="F13" s="472"/>
      <c r="G13" s="15" t="s">
        <v>405</v>
      </c>
      <c r="H13" s="8" t="s">
        <v>29</v>
      </c>
      <c r="I13" s="470" t="s">
        <v>53</v>
      </c>
      <c r="J13" s="472"/>
      <c r="K13" s="8" t="s">
        <v>5</v>
      </c>
      <c r="L13" s="9" t="s">
        <v>6</v>
      </c>
      <c r="M13" s="28"/>
      <c r="N13" s="28" t="s">
        <v>531</v>
      </c>
      <c r="O13" s="28"/>
    </row>
    <row r="14" spans="2:20" ht="20.149999999999999" customHeight="1" x14ac:dyDescent="0.45">
      <c r="B14" s="29"/>
      <c r="C14" s="17" t="s">
        <v>94</v>
      </c>
      <c r="D14" s="461" t="s">
        <v>584</v>
      </c>
      <c r="E14" s="461"/>
      <c r="F14" s="461"/>
      <c r="G14" s="17">
        <v>200</v>
      </c>
      <c r="H14" s="17" t="s">
        <v>582</v>
      </c>
      <c r="I14" s="600" t="s">
        <v>583</v>
      </c>
      <c r="J14" s="600"/>
      <c r="K14" s="30">
        <v>3.5</v>
      </c>
      <c r="L14" s="31">
        <f>G14*K14</f>
        <v>700</v>
      </c>
      <c r="M14" s="65"/>
      <c r="N14" s="93" t="s">
        <v>311</v>
      </c>
      <c r="O14" s="19" t="s">
        <v>257</v>
      </c>
      <c r="R14" s="19">
        <v>3</v>
      </c>
      <c r="S14" s="19" t="s">
        <v>34</v>
      </c>
      <c r="T14" s="19" t="s">
        <v>32</v>
      </c>
    </row>
    <row r="15" spans="2:20" ht="20.149999999999999" customHeight="1" x14ac:dyDescent="0.45">
      <c r="B15" s="29"/>
      <c r="C15" s="17" t="s">
        <v>151</v>
      </c>
      <c r="D15" s="461" t="s">
        <v>585</v>
      </c>
      <c r="E15" s="461"/>
      <c r="F15" s="461"/>
      <c r="G15" s="17">
        <v>4684</v>
      </c>
      <c r="H15" s="17" t="s">
        <v>586</v>
      </c>
      <c r="I15" s="473" t="s">
        <v>583</v>
      </c>
      <c r="J15" s="473"/>
      <c r="K15" s="30">
        <v>1.9</v>
      </c>
      <c r="L15" s="31">
        <f>G15*K15</f>
        <v>8899.6</v>
      </c>
      <c r="M15" s="65"/>
      <c r="N15" s="19" t="s">
        <v>410</v>
      </c>
      <c r="O15" s="19" t="s">
        <v>233</v>
      </c>
      <c r="R15" s="19">
        <v>3</v>
      </c>
      <c r="S15" s="19" t="s">
        <v>34</v>
      </c>
      <c r="T15" s="19" t="s">
        <v>59</v>
      </c>
    </row>
    <row r="16" spans="2:20" ht="20.149999999999999" customHeight="1" x14ac:dyDescent="0.45">
      <c r="B16" s="29"/>
      <c r="C16" s="17"/>
      <c r="D16" s="461"/>
      <c r="E16" s="461"/>
      <c r="F16" s="461"/>
      <c r="G16" s="76"/>
      <c r="H16" s="56"/>
      <c r="I16" s="491"/>
      <c r="J16" s="491"/>
      <c r="K16" s="80"/>
      <c r="L16" s="64"/>
      <c r="M16" s="65"/>
      <c r="N16" s="19" t="s">
        <v>303</v>
      </c>
      <c r="O16" s="19" t="s">
        <v>245</v>
      </c>
      <c r="R16" s="19">
        <v>2</v>
      </c>
      <c r="S16" s="19" t="s">
        <v>34</v>
      </c>
      <c r="T16" s="19" t="s">
        <v>47</v>
      </c>
    </row>
    <row r="17" spans="2:20" ht="20.149999999999999" customHeight="1" x14ac:dyDescent="0.45">
      <c r="B17" s="29"/>
      <c r="C17" s="17"/>
      <c r="D17" s="461"/>
      <c r="E17" s="461"/>
      <c r="F17" s="461"/>
      <c r="G17" s="76"/>
      <c r="H17" s="56"/>
      <c r="I17" s="491"/>
      <c r="J17" s="491"/>
      <c r="K17" s="80"/>
      <c r="L17" s="64"/>
      <c r="M17" s="65"/>
      <c r="N17" s="93" t="s">
        <v>310</v>
      </c>
      <c r="O17" s="19" t="s">
        <v>322</v>
      </c>
      <c r="R17" s="19">
        <v>2</v>
      </c>
      <c r="S17" s="19" t="s">
        <v>34</v>
      </c>
      <c r="T17" s="19" t="s">
        <v>47</v>
      </c>
    </row>
    <row r="18" spans="2:20" ht="20.149999999999999" customHeight="1" x14ac:dyDescent="0.45">
      <c r="B18" s="29"/>
      <c r="C18" s="17"/>
      <c r="D18" s="461"/>
      <c r="E18" s="461"/>
      <c r="F18" s="461"/>
      <c r="G18" s="76"/>
      <c r="H18" s="56"/>
      <c r="I18" s="491"/>
      <c r="J18" s="491"/>
      <c r="K18" s="80"/>
      <c r="L18" s="64"/>
      <c r="M18" s="65"/>
      <c r="N18" s="19" t="s">
        <v>312</v>
      </c>
      <c r="O18" s="19" t="s">
        <v>239</v>
      </c>
      <c r="R18" s="19">
        <v>3</v>
      </c>
      <c r="S18" s="19" t="s">
        <v>45</v>
      </c>
      <c r="T18" s="19" t="s">
        <v>58</v>
      </c>
    </row>
    <row r="19" spans="2:20" ht="20.149999999999999" customHeight="1" x14ac:dyDescent="0.45">
      <c r="B19" s="29"/>
      <c r="C19" s="17"/>
      <c r="D19" s="461"/>
      <c r="E19" s="461"/>
      <c r="F19" s="461"/>
      <c r="G19" s="76"/>
      <c r="H19" s="56"/>
      <c r="I19" s="491"/>
      <c r="J19" s="491"/>
      <c r="K19" s="80"/>
      <c r="L19" s="64"/>
      <c r="M19" s="65"/>
      <c r="N19" s="93" t="s">
        <v>319</v>
      </c>
      <c r="O19" s="19" t="s">
        <v>400</v>
      </c>
      <c r="R19" s="19">
        <v>3</v>
      </c>
      <c r="S19" s="19" t="s">
        <v>401</v>
      </c>
      <c r="T19" s="19" t="s">
        <v>452</v>
      </c>
    </row>
    <row r="20" spans="2:20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80"/>
      <c r="L20" s="64"/>
      <c r="M20" s="65"/>
    </row>
    <row r="21" spans="2:20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80"/>
      <c r="L21" s="64"/>
      <c r="M21" s="65"/>
    </row>
    <row r="22" spans="2:20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80"/>
      <c r="L22" s="64"/>
      <c r="M22" s="65"/>
    </row>
    <row r="23" spans="2:20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80"/>
      <c r="L23" s="64"/>
      <c r="M23" s="65"/>
    </row>
    <row r="24" spans="2:20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80"/>
      <c r="L24" s="64"/>
      <c r="M24" s="65"/>
    </row>
    <row r="25" spans="2:20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80"/>
      <c r="L25" s="64"/>
      <c r="M25" s="65"/>
    </row>
    <row r="26" spans="2:20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80"/>
      <c r="L26" s="64"/>
      <c r="M26" s="65"/>
    </row>
    <row r="27" spans="2:20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80"/>
      <c r="L27" s="64"/>
      <c r="M27" s="65"/>
    </row>
    <row r="28" spans="2:20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80"/>
      <c r="L28" s="64"/>
      <c r="M28" s="65"/>
    </row>
    <row r="29" spans="2:20" ht="20.149999999999999" customHeight="1" x14ac:dyDescent="0.45">
      <c r="B29" s="29"/>
      <c r="C29" s="17"/>
      <c r="D29" s="461"/>
      <c r="E29" s="461"/>
      <c r="F29" s="461"/>
      <c r="G29" s="76"/>
      <c r="H29" s="56"/>
      <c r="I29" s="491"/>
      <c r="J29" s="491"/>
      <c r="K29" s="80"/>
      <c r="L29" s="64"/>
      <c r="M29" s="65"/>
    </row>
    <row r="30" spans="2:20" ht="20.149999999999999" customHeight="1" x14ac:dyDescent="0.45">
      <c r="B30" s="29"/>
      <c r="C30" s="17"/>
      <c r="D30" s="461"/>
      <c r="E30" s="461"/>
      <c r="F30" s="461"/>
      <c r="G30" s="17"/>
      <c r="H30" s="56"/>
      <c r="I30" s="491"/>
      <c r="J30" s="491"/>
      <c r="K30" s="80"/>
      <c r="L30" s="64"/>
      <c r="M30" s="65"/>
    </row>
    <row r="31" spans="2:20" ht="20.149999999999999" customHeight="1" x14ac:dyDescent="0.45">
      <c r="B31" s="29"/>
      <c r="C31" s="17"/>
      <c r="D31" s="461"/>
      <c r="E31" s="461"/>
      <c r="F31" s="461"/>
      <c r="G31" s="17"/>
      <c r="H31" s="56"/>
      <c r="I31" s="491"/>
      <c r="J31" s="491"/>
      <c r="K31" s="80"/>
      <c r="L31" s="64"/>
      <c r="M31" s="65"/>
    </row>
    <row r="32" spans="2:20" ht="20.149999999999999" customHeight="1" x14ac:dyDescent="0.45">
      <c r="B32" s="29"/>
      <c r="C32" s="17"/>
      <c r="D32" s="461"/>
      <c r="E32" s="461"/>
      <c r="F32" s="461"/>
      <c r="G32" s="17"/>
      <c r="H32" s="56"/>
      <c r="I32" s="491"/>
      <c r="J32" s="491"/>
      <c r="K32" s="80"/>
      <c r="L32" s="64"/>
    </row>
    <row r="33" spans="2:13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474"/>
      <c r="J33" s="474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SUM(L13:L32)</f>
        <v>9599.6</v>
      </c>
      <c r="M35" s="63">
        <f>166+26</f>
        <v>192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9599.6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/>
      <c r="L38" s="42"/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9599.6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6.7265625" style="19" customWidth="1"/>
    <col min="11" max="11" width="13.26953125" style="19" customWidth="1"/>
    <col min="12" max="12" width="15.089843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93">
        <v>202211419</v>
      </c>
      <c r="L10" s="494"/>
    </row>
    <row r="11" spans="2:12" ht="20.149999999999999" customHeight="1" x14ac:dyDescent="0.45">
      <c r="B11" s="223" t="s">
        <v>1433</v>
      </c>
      <c r="C11" s="218"/>
      <c r="D11" s="219"/>
      <c r="E11" s="25"/>
      <c r="F11" s="480"/>
      <c r="G11" s="481"/>
      <c r="H11" s="482"/>
      <c r="J11" s="26" t="s">
        <v>9</v>
      </c>
      <c r="K11" s="495">
        <v>44888</v>
      </c>
      <c r="L11" s="496"/>
    </row>
    <row r="12" spans="2:12" ht="20.149999999999999" customHeight="1" x14ac:dyDescent="0.45">
      <c r="B12" s="224" t="s">
        <v>1434</v>
      </c>
      <c r="C12" s="25"/>
      <c r="D12" s="221"/>
      <c r="E12" s="25"/>
      <c r="F12" s="483"/>
      <c r="G12" s="484"/>
      <c r="H12" s="485"/>
      <c r="J12" s="26" t="s">
        <v>145</v>
      </c>
      <c r="K12" s="463" t="s">
        <v>1438</v>
      </c>
      <c r="L12" s="464"/>
    </row>
    <row r="13" spans="2:12" ht="20.149999999999999" customHeight="1" x14ac:dyDescent="0.45">
      <c r="B13" s="488" t="s">
        <v>1435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671</v>
      </c>
      <c r="L13" s="464"/>
    </row>
    <row r="14" spans="2:12" ht="20.149999999999999" customHeight="1" x14ac:dyDescent="0.45">
      <c r="B14" s="488" t="s">
        <v>1436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 t="s">
        <v>1439</v>
      </c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1"/>
      <c r="G17" s="471"/>
      <c r="H17" s="471"/>
      <c r="I17" s="471"/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/>
      <c r="D18" s="225"/>
      <c r="E18" s="226"/>
      <c r="F18" s="226"/>
      <c r="G18" s="226"/>
      <c r="H18" s="226"/>
      <c r="I18" s="226"/>
      <c r="J18" s="226"/>
      <c r="K18" s="30"/>
      <c r="L18" s="64"/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601" t="s">
        <v>1437</v>
      </c>
      <c r="E19" s="601"/>
      <c r="F19" s="601"/>
      <c r="G19" s="601"/>
      <c r="H19" s="601"/>
      <c r="I19" s="601"/>
      <c r="J19" s="601"/>
      <c r="K19" s="227">
        <v>3210</v>
      </c>
      <c r="L19" s="228">
        <v>3210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601"/>
      <c r="E20" s="601"/>
      <c r="F20" s="601"/>
      <c r="G20" s="601"/>
      <c r="H20" s="601"/>
      <c r="I20" s="601"/>
      <c r="J20" s="601"/>
      <c r="K20" s="227"/>
      <c r="L20" s="228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6"/>
      <c r="I28" s="516"/>
      <c r="J28" s="516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6"/>
      <c r="I29" s="516"/>
      <c r="J29" s="516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5"/>
      <c r="I30" s="491"/>
      <c r="J30" s="491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SUM(L14:L30)</f>
        <v>3210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3210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v>7.0000000000000007E-2</v>
      </c>
      <c r="L37" s="42">
        <f>L36*K37</f>
        <v>224.70000000000002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3434.7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1:F21"/>
    <mergeCell ref="I21:J21"/>
    <mergeCell ref="D22:F22"/>
    <mergeCell ref="I22:J22"/>
    <mergeCell ref="K15:L15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46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</v>
      </c>
      <c r="J10" s="24" t="s">
        <v>27</v>
      </c>
      <c r="K10" s="493">
        <v>202501033</v>
      </c>
      <c r="L10" s="494"/>
    </row>
    <row r="11" spans="2:14" ht="20.149999999999999" customHeight="1" x14ac:dyDescent="0.45">
      <c r="B11" s="477" t="s">
        <v>339</v>
      </c>
      <c r="C11" s="478"/>
      <c r="D11" s="479"/>
      <c r="E11" s="25"/>
      <c r="F11" s="480" t="str">
        <f>VLOOKUP(H10,'Delivery Location'!A$4:N$460,2,0)</f>
        <v>Dessert Station                                         270 Queen Street #01-41 Albert Centre. Singapore</v>
      </c>
      <c r="G11" s="481"/>
      <c r="H11" s="482"/>
      <c r="J11" s="26" t="s">
        <v>9</v>
      </c>
      <c r="K11" s="495">
        <v>45659</v>
      </c>
      <c r="L11" s="496"/>
    </row>
    <row r="12" spans="2:14" ht="20.149999999999999" customHeight="1" x14ac:dyDescent="0.45">
      <c r="B12" s="488" t="s">
        <v>414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340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  <c r="N13" s="198" t="s">
        <v>1479</v>
      </c>
    </row>
    <row r="14" spans="2:14" ht="20.149999999999999" customHeight="1" x14ac:dyDescent="0.45">
      <c r="B14" s="488" t="s">
        <v>1288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9" ht="20.149999999999999" customHeight="1" x14ac:dyDescent="0.45">
      <c r="A18" s="19" t="s">
        <v>460</v>
      </c>
      <c r="B18" s="29"/>
      <c r="C18" s="212" t="s">
        <v>721</v>
      </c>
      <c r="D18" s="461" t="str">
        <f>VLOOKUP(C18,'Sales Master'!B$3:D$530,2,)</f>
        <v xml:space="preserve">Fresh Soursop 红毛榴莲 </v>
      </c>
      <c r="E18" s="461"/>
      <c r="F18" s="461"/>
      <c r="G18" s="76">
        <v>2</v>
      </c>
      <c r="H18" s="186" t="str">
        <f>VLOOKUP(C18,'Sales Master'!$B$3:$F$2483,5,0)</f>
        <v>GW:5 KG/ Pkt包</v>
      </c>
      <c r="I18" s="497" t="str">
        <f>VLOOKUP(C18,'Sales Master'!$B$3:$E$2483,4,0)</f>
        <v>DO!</v>
      </c>
      <c r="J18" s="497"/>
      <c r="K18" s="80">
        <f>VLOOKUP(C18,'Sales Master'!B$3:L$530,11,0)</f>
        <v>35</v>
      </c>
      <c r="L18" s="64">
        <f>K18*G18</f>
        <v>70</v>
      </c>
      <c r="M18" s="65"/>
      <c r="N18" s="145">
        <f>VLOOKUP(C18,'Sales Master'!$B$3:$DA$2272,104,0)</f>
        <v>24.39</v>
      </c>
      <c r="O18" s="145">
        <f>K18-N18</f>
        <v>10.61</v>
      </c>
      <c r="P18" s="145">
        <f>O18*G18</f>
        <v>21.22</v>
      </c>
      <c r="R18" s="63"/>
      <c r="S18" s="63"/>
    </row>
    <row r="19" spans="1:19" ht="20.149999999999999" customHeight="1" x14ac:dyDescent="0.45">
      <c r="B19" s="29"/>
      <c r="C19" s="212" t="s">
        <v>757</v>
      </c>
      <c r="D19" s="461" t="str">
        <f>VLOOKUP(C19,'Sales Master'!B$3:D$530,2,)</f>
        <v>Tadpole JELLY  蝌蚪</v>
      </c>
      <c r="E19" s="461"/>
      <c r="F19" s="461"/>
      <c r="G19" s="76">
        <v>2</v>
      </c>
      <c r="H19" s="186" t="str">
        <f>VLOOKUP(C19,'Sales Master'!$B$3:$F$2483,5,0)</f>
        <v>1 KG/ Bag包</v>
      </c>
      <c r="I19" s="497" t="str">
        <f>VLOOKUP(C19,'Sales Master'!$B$3:$E$2483,4,0)</f>
        <v>FJ</v>
      </c>
      <c r="J19" s="497"/>
      <c r="K19" s="80">
        <f>VLOOKUP(C19,'Sales Master'!B$3:L$530,11,0)</f>
        <v>6.5</v>
      </c>
      <c r="L19" s="64">
        <f>K19*G19</f>
        <v>13</v>
      </c>
      <c r="M19" s="65"/>
      <c r="N19" s="145">
        <f>VLOOKUP(C19,'Sales Master'!$B$3:$DA$2272,104,0)</f>
        <v>5.5</v>
      </c>
      <c r="O19" s="145">
        <f>K19-N19</f>
        <v>1</v>
      </c>
      <c r="P19" s="145">
        <f>O19*G19</f>
        <v>2</v>
      </c>
      <c r="R19" s="63"/>
      <c r="S19" s="63">
        <f>N19*G19*0.08</f>
        <v>0.88</v>
      </c>
    </row>
    <row r="20" spans="1:19" ht="20.149999999999999" customHeight="1" x14ac:dyDescent="0.45">
      <c r="B20" s="29"/>
      <c r="C20" s="212" t="s">
        <v>828</v>
      </c>
      <c r="D20" s="461" t="str">
        <f>VLOOKUP(C20,'Sales Master'!B$3:D$530,2,)</f>
        <v>Atap Seeds in Syrup 亚嗒子</v>
      </c>
      <c r="E20" s="461"/>
      <c r="F20" s="461"/>
      <c r="G20" s="76">
        <v>4</v>
      </c>
      <c r="H20" s="204" t="str">
        <f>VLOOKUP(C20,'Sales Master'!$B$3:$F$2483,5,0)</f>
        <v>NW(2.1:0.9) 3kg/ Bag包</v>
      </c>
      <c r="I20" s="497" t="str">
        <f>VLOOKUP(C20,'Sales Master'!$B$3:$E$2483,4,0)</f>
        <v>DO!</v>
      </c>
      <c r="J20" s="497"/>
      <c r="K20" s="80">
        <f>VLOOKUP(C20,'Sales Master'!B$3:L$530,11,0)</f>
        <v>13.8</v>
      </c>
      <c r="L20" s="64">
        <f>K20*G20</f>
        <v>55.2</v>
      </c>
      <c r="M20" s="65"/>
      <c r="N20" s="145">
        <f>VLOOKUP(C20,'Sales Master'!$B$3:$DA$2272,104,0)</f>
        <v>9.6</v>
      </c>
      <c r="O20" s="145">
        <f>K20-N20</f>
        <v>4.2000000000000011</v>
      </c>
      <c r="P20" s="145">
        <f>O20*G20</f>
        <v>16.800000000000004</v>
      </c>
      <c r="R20" s="63"/>
      <c r="S20" s="63">
        <f>N20*G20*0.08</f>
        <v>3.0720000000000001</v>
      </c>
    </row>
    <row r="21" spans="1:19" ht="20.149999999999999" customHeight="1" x14ac:dyDescent="0.45">
      <c r="B21" s="29"/>
      <c r="C21" s="212" t="s">
        <v>1042</v>
      </c>
      <c r="D21" s="461" t="str">
        <f>VLOOKUP(C21,'Sales Master'!B$3:D$530,2,)</f>
        <v>Food Coloring - Liquid 颜色水</v>
      </c>
      <c r="E21" s="461"/>
      <c r="F21" s="461"/>
      <c r="G21" s="76">
        <v>2</v>
      </c>
      <c r="H21" s="204" t="str">
        <f>VLOOKUP(C21,'Sales Master'!$B$3:$F$2483,5,0)</f>
        <v>500 ML/ Btl支</v>
      </c>
      <c r="I21" s="497" t="str">
        <f>VLOOKUP(C21,'Sales Master'!$B$3:$E$2483,4,0)</f>
        <v>Green/青</v>
      </c>
      <c r="J21" s="497"/>
      <c r="K21" s="80">
        <f>VLOOKUP(C21,'Sales Master'!B$3:L$530,11,0)</f>
        <v>2.8</v>
      </c>
      <c r="L21" s="64">
        <f>K21*G21</f>
        <v>5.6</v>
      </c>
      <c r="M21" s="65"/>
      <c r="N21" s="145"/>
      <c r="O21" s="145"/>
      <c r="P21" s="145"/>
      <c r="R21" s="63"/>
      <c r="S21" s="63"/>
    </row>
    <row r="22" spans="1:19" ht="20.149999999999999" customHeight="1" x14ac:dyDescent="0.45">
      <c r="B22" s="29"/>
      <c r="C22" s="212"/>
      <c r="D22" s="492"/>
      <c r="E22" s="492"/>
      <c r="F22" s="492"/>
      <c r="G22" s="76"/>
      <c r="H22" s="204"/>
      <c r="I22" s="497"/>
      <c r="J22" s="497"/>
      <c r="K22" s="80"/>
      <c r="L22" s="64"/>
      <c r="M22" s="65"/>
      <c r="N22" s="145"/>
      <c r="O22" s="145"/>
      <c r="P22" s="145"/>
      <c r="R22" s="63"/>
      <c r="S22" s="63"/>
    </row>
    <row r="23" spans="1:19" ht="20.149999999999999" customHeight="1" x14ac:dyDescent="0.45">
      <c r="B23" s="29"/>
      <c r="C23" s="212"/>
      <c r="G23" s="76"/>
      <c r="H23" s="204"/>
      <c r="I23" s="208"/>
      <c r="J23" s="208"/>
      <c r="K23" s="80"/>
      <c r="L23" s="64"/>
      <c r="M23" s="65"/>
      <c r="N23" s="145"/>
      <c r="O23" s="145"/>
      <c r="P23" s="145"/>
      <c r="R23" s="63"/>
      <c r="S23" s="63"/>
    </row>
    <row r="24" spans="1:19" ht="20.149999999999999" customHeight="1" x14ac:dyDescent="0.45">
      <c r="B24" s="29"/>
      <c r="C24" s="212"/>
      <c r="G24" s="76"/>
      <c r="H24" s="204"/>
      <c r="I24" s="208"/>
      <c r="J24" s="208"/>
      <c r="K24" s="80"/>
      <c r="L24" s="64"/>
      <c r="M24" s="65"/>
      <c r="N24" s="145"/>
      <c r="O24" s="145"/>
      <c r="P24" s="145"/>
      <c r="R24" s="63"/>
      <c r="S24" s="63"/>
    </row>
    <row r="25" spans="1:19" ht="20.149999999999999" customHeight="1" x14ac:dyDescent="0.45">
      <c r="B25" s="29"/>
      <c r="C25" s="212"/>
      <c r="G25" s="76"/>
      <c r="H25" s="186"/>
      <c r="I25" s="208"/>
      <c r="J25" s="208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198" t="s">
        <v>2179</v>
      </c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  <c r="R26" s="63"/>
      <c r="S26" s="63"/>
    </row>
    <row r="27" spans="1:19" ht="20.149999999999999" customHeight="1" x14ac:dyDescent="0.45">
      <c r="B27" s="29"/>
      <c r="C27" s="212" t="s">
        <v>721</v>
      </c>
      <c r="D27" s="501" t="str">
        <f>VLOOKUP(C27,'Sales Master'!B$3:D$530,2,)</f>
        <v xml:space="preserve">Fresh Soursop 红毛榴莲 </v>
      </c>
      <c r="E27" s="501"/>
      <c r="F27" s="501"/>
      <c r="G27" s="76">
        <v>1</v>
      </c>
      <c r="H27" s="85" t="str">
        <f>VLOOKUP(C27,'Sales Master'!$B$3:$F$2413,5,0)</f>
        <v>GW:5 KG/ Pkt包</v>
      </c>
      <c r="I27" s="497" t="str">
        <f>VLOOKUP(C27,'Sales Master'!$B$3:$E$2481,4,0)</f>
        <v>DO!</v>
      </c>
      <c r="J27" s="497"/>
      <c r="K27" s="80">
        <v>35</v>
      </c>
      <c r="L27" s="84"/>
      <c r="M27" s="65"/>
    </row>
    <row r="28" spans="1:19" ht="20.149999999999999" customHeight="1" x14ac:dyDescent="0.45">
      <c r="B28" s="29"/>
      <c r="C28" s="153"/>
      <c r="E28" s="147"/>
      <c r="F28" s="147"/>
      <c r="G28" s="76"/>
      <c r="H28" s="56"/>
      <c r="I28" s="56"/>
      <c r="J28" s="56"/>
      <c r="K28" s="150"/>
      <c r="L28" s="84"/>
      <c r="M28" s="65"/>
    </row>
    <row r="29" spans="1:19" ht="20.149999999999999" customHeight="1" x14ac:dyDescent="0.45">
      <c r="B29" s="29"/>
      <c r="C29" s="212"/>
      <c r="D29" s="461"/>
      <c r="E29" s="461"/>
      <c r="F29" s="461"/>
      <c r="G29" s="76"/>
      <c r="H29" s="186"/>
      <c r="I29" s="497"/>
      <c r="J29" s="497"/>
      <c r="K29" s="83"/>
      <c r="L29" s="84"/>
      <c r="M29" s="65"/>
    </row>
    <row r="30" spans="1:19" ht="20.149999999999999" customHeight="1" x14ac:dyDescent="0.45">
      <c r="B30" s="29"/>
      <c r="C30" s="212"/>
      <c r="D30" s="461"/>
      <c r="E30" s="461"/>
      <c r="F30" s="461"/>
      <c r="G30" s="76"/>
      <c r="H30" s="186"/>
      <c r="I30" s="497"/>
      <c r="J30" s="497"/>
      <c r="K30" s="80"/>
      <c r="L30" s="84"/>
      <c r="M30" s="65"/>
    </row>
    <row r="31" spans="1:19" ht="20.149999999999999" customHeight="1" x14ac:dyDescent="0.45">
      <c r="B31" s="29"/>
      <c r="C31" s="17"/>
      <c r="D31" s="445"/>
      <c r="E31" s="445"/>
      <c r="F31" s="445"/>
      <c r="G31" s="76"/>
      <c r="H31" s="82"/>
      <c r="I31" s="446"/>
      <c r="J31" s="446"/>
      <c r="K31" s="150"/>
      <c r="L31" s="84"/>
      <c r="M31" s="65"/>
    </row>
    <row r="32" spans="1:19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36"/>
      <c r="C34" s="6"/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SUM(L17:L31)</f>
        <v>143.79999999999998</v>
      </c>
      <c r="M34" s="63">
        <f>SUM(P18:P21)</f>
        <v>40.020000000000003</v>
      </c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143.79999999999998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12.941999999999998</v>
      </c>
    </row>
    <row r="38" spans="2:13" ht="20.149999999999999" customHeight="1" thickBot="1" x14ac:dyDescent="0.5">
      <c r="B38" s="10" t="s">
        <v>22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156.74199999999999</v>
      </c>
    </row>
    <row r="39" spans="2:13" ht="20.149999999999999" customHeight="1" x14ac:dyDescent="0.45">
      <c r="B39" s="10" t="s">
        <v>700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10" t="s">
        <v>24</v>
      </c>
      <c r="L40" s="37"/>
    </row>
    <row r="41" spans="2:13" ht="20.149999999999999" customHeight="1" x14ac:dyDescent="0.45">
      <c r="B41" s="144" t="s">
        <v>690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thickBot="1" x14ac:dyDescent="0.5">
      <c r="B46" s="47" t="s">
        <v>25</v>
      </c>
      <c r="C46" s="48"/>
      <c r="D46" s="48"/>
      <c r="E46" s="48"/>
      <c r="F46" s="48"/>
      <c r="G46" s="48"/>
      <c r="H46" s="48"/>
      <c r="I46" s="48"/>
      <c r="J46" s="48" t="s">
        <v>26</v>
      </c>
      <c r="K46" s="48"/>
      <c r="L46" s="49"/>
    </row>
  </sheetData>
  <mergeCells count="37">
    <mergeCell ref="D21:F21"/>
    <mergeCell ref="I21:J21"/>
    <mergeCell ref="D20:F20"/>
    <mergeCell ref="I20:J20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J38:K38"/>
    <mergeCell ref="D32:F32"/>
    <mergeCell ref="I32:J32"/>
    <mergeCell ref="J34:K34"/>
    <mergeCell ref="J36:K36"/>
    <mergeCell ref="D27:F27"/>
    <mergeCell ref="I27:J27"/>
    <mergeCell ref="D31:F31"/>
    <mergeCell ref="I31:J31"/>
    <mergeCell ref="I29:J29"/>
    <mergeCell ref="D30:F30"/>
    <mergeCell ref="I30:J30"/>
    <mergeCell ref="D29:F29"/>
  </mergeCells>
  <conditionalFormatting sqref="C26">
    <cfRule type="duplicateValues" dxfId="221" priority="1"/>
  </conditionalFormatting>
  <conditionalFormatting sqref="C27">
    <cfRule type="duplicateValues" dxfId="220" priority="2"/>
  </conditionalFormatting>
  <conditionalFormatting sqref="C28">
    <cfRule type="duplicateValues" dxfId="219" priority="3"/>
  </conditionalFormatting>
  <conditionalFormatting sqref="C29">
    <cfRule type="duplicateValues" dxfId="218" priority="4"/>
  </conditionalFormatting>
  <conditionalFormatting sqref="N13">
    <cfRule type="duplicateValues" dxfId="217" priority="6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43"/>
  <sheetViews>
    <sheetView topLeftCell="B26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</v>
      </c>
      <c r="J10" s="24" t="s">
        <v>27</v>
      </c>
      <c r="K10" s="493">
        <v>202501071</v>
      </c>
      <c r="L10" s="494"/>
    </row>
    <row r="11" spans="2:12" ht="20.149999999999999" customHeight="1" x14ac:dyDescent="0.45">
      <c r="B11" s="477" t="s">
        <v>209</v>
      </c>
      <c r="C11" s="478"/>
      <c r="D11" s="479"/>
      <c r="E11" s="25"/>
      <c r="F11" s="480" t="str">
        <f>VLOOKUP(H10,'Delivery Location'!A$4:N$460,2,0)</f>
        <v>甜甜                                                            Blk 28  Jalan Klinik  #09-43 Singapore  160028</v>
      </c>
      <c r="G11" s="481"/>
      <c r="H11" s="482"/>
      <c r="J11" s="26" t="s">
        <v>9</v>
      </c>
      <c r="K11" s="495">
        <v>45660</v>
      </c>
      <c r="L11" s="496"/>
    </row>
    <row r="12" spans="2:12" ht="20.149999999999999" customHeight="1" x14ac:dyDescent="0.45">
      <c r="B12" s="488" t="s">
        <v>359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1474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  <c r="L16" s="19" t="s">
        <v>460</v>
      </c>
    </row>
    <row r="17" spans="2:20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0" ht="20" customHeight="1" x14ac:dyDescent="0.45">
      <c r="B18" s="29"/>
      <c r="C18" s="212" t="s">
        <v>855</v>
      </c>
      <c r="D18" s="501" t="str">
        <f>VLOOKUP(C18,'Sales Master'!B$3:D$530,2,)</f>
        <v>Split Green Mung Bean 豆爽</v>
      </c>
      <c r="E18" s="501"/>
      <c r="F18" s="501"/>
      <c r="G18" s="76">
        <v>2</v>
      </c>
      <c r="H18" s="85" t="str">
        <f>VLOOKUP(C18,'Sales Master'!$B$3:$F$2481,5,0)</f>
        <v>5 KG</v>
      </c>
      <c r="I18" s="497" t="str">
        <f>VLOOKUP(C18,'Sales Master'!$B$3:$E$2481,4,0)</f>
        <v>-</v>
      </c>
      <c r="J18" s="497"/>
      <c r="K18" s="80">
        <f>VLOOKUP(C18,'Sales Master'!B$3:AC$530,28,0)</f>
        <v>18</v>
      </c>
      <c r="L18" s="64">
        <f>K18*G18</f>
        <v>36</v>
      </c>
      <c r="M18" s="65"/>
      <c r="N18" s="19" t="s">
        <v>1206</v>
      </c>
    </row>
    <row r="19" spans="2:20" ht="20" customHeight="1" x14ac:dyDescent="0.45">
      <c r="B19" s="29"/>
      <c r="C19" s="212" t="s">
        <v>891</v>
      </c>
      <c r="D19" s="501" t="str">
        <f>VLOOKUP(C19,'Sales Master'!B$3:D$530,2,)</f>
        <v>GingKo Nut 白果粒</v>
      </c>
      <c r="E19" s="501"/>
      <c r="F19" s="501"/>
      <c r="G19" s="76">
        <v>2</v>
      </c>
      <c r="H19" s="85" t="str">
        <f>VLOOKUP(C19,'Sales Master'!$B$3:$F$2481,5,0)</f>
        <v>5 kgs</v>
      </c>
      <c r="I19" s="497" t="str">
        <f>VLOOKUP(C19,'Sales Master'!$B$3:$E$2481,4,0)</f>
        <v>-</v>
      </c>
      <c r="J19" s="497"/>
      <c r="K19" s="80">
        <f>VLOOKUP(C19,'Sales Master'!B$3:AC$530,28,0)</f>
        <v>19</v>
      </c>
      <c r="L19" s="64">
        <f>K19*G19</f>
        <v>38</v>
      </c>
      <c r="M19" s="65"/>
      <c r="N19" s="145"/>
      <c r="O19" s="145"/>
      <c r="P19" s="145"/>
    </row>
    <row r="20" spans="2:20" ht="20" customHeight="1" x14ac:dyDescent="0.45">
      <c r="B20" s="29"/>
      <c r="C20" s="212" t="s">
        <v>1206</v>
      </c>
      <c r="D20" s="501" t="str">
        <f>VLOOKUP(C20,'Sales Master'!B$3:D$530,2,)</f>
        <v>Water Chestnut 马蹄罐</v>
      </c>
      <c r="E20" s="501"/>
      <c r="F20" s="501"/>
      <c r="G20" s="76">
        <v>1</v>
      </c>
      <c r="H20" s="85" t="str">
        <f>VLOOKUP(C20,'Sales Master'!$B$3:$F$2481,5,0)</f>
        <v>(567gm x 24)/ Ctn箱</v>
      </c>
      <c r="I20" s="497" t="str">
        <f>VLOOKUP(C20,'Sales Master'!$B$3:$E$2481,4,0)</f>
        <v>GOLDEN CHAMP</v>
      </c>
      <c r="J20" s="497"/>
      <c r="K20" s="80">
        <f>VLOOKUP(C20,'Sales Master'!B$3:AC$530,28,0)</f>
        <v>34</v>
      </c>
      <c r="L20" s="64">
        <f>K20*G20</f>
        <v>34</v>
      </c>
      <c r="M20" s="65"/>
      <c r="N20" s="145"/>
      <c r="O20" s="145"/>
      <c r="P20" s="145"/>
    </row>
    <row r="21" spans="2:20" ht="20" customHeight="1" x14ac:dyDescent="0.45">
      <c r="B21" s="29"/>
      <c r="C21" s="212"/>
      <c r="D21" s="501"/>
      <c r="E21" s="501"/>
      <c r="F21" s="501"/>
      <c r="G21" s="76"/>
      <c r="H21" s="85"/>
      <c r="I21" s="497"/>
      <c r="J21" s="497"/>
      <c r="K21" s="80"/>
      <c r="L21" s="64"/>
      <c r="M21" s="65"/>
      <c r="N21" s="19" t="s">
        <v>891</v>
      </c>
    </row>
    <row r="22" spans="2:20" ht="20" customHeight="1" x14ac:dyDescent="0.45">
      <c r="B22" s="29"/>
      <c r="C22" s="212"/>
      <c r="D22" s="501"/>
      <c r="E22" s="501"/>
      <c r="F22" s="501"/>
      <c r="G22" s="76"/>
      <c r="H22" s="85"/>
      <c r="I22" s="497"/>
      <c r="J22" s="497"/>
      <c r="K22" s="80"/>
      <c r="L22" s="64"/>
      <c r="M22" s="65"/>
      <c r="N22" s="145"/>
      <c r="O22" s="145"/>
      <c r="P22" s="145"/>
    </row>
    <row r="23" spans="2:20" ht="20" customHeight="1" x14ac:dyDescent="0.45">
      <c r="B23" s="29"/>
      <c r="C23" s="212"/>
      <c r="D23" s="501"/>
      <c r="E23" s="501"/>
      <c r="F23" s="501"/>
      <c r="G23" s="76"/>
      <c r="H23" s="85"/>
      <c r="I23" s="497"/>
      <c r="J23" s="497"/>
      <c r="K23" s="80"/>
      <c r="L23" s="64"/>
      <c r="M23" s="65"/>
      <c r="N23" s="145"/>
      <c r="O23" s="145"/>
      <c r="P23" s="145"/>
    </row>
    <row r="24" spans="2:20" ht="20" customHeight="1" x14ac:dyDescent="0.45">
      <c r="B24" s="29"/>
      <c r="D24" s="501"/>
      <c r="E24" s="501"/>
      <c r="F24" s="501"/>
      <c r="G24" s="76"/>
      <c r="H24" s="85"/>
      <c r="I24" s="497"/>
      <c r="J24" s="497"/>
      <c r="K24" s="80"/>
      <c r="L24" s="64"/>
      <c r="M24" s="65"/>
      <c r="N24" s="145"/>
      <c r="O24" s="145"/>
      <c r="P24" s="145"/>
    </row>
    <row r="25" spans="2:20" ht="20" customHeight="1" x14ac:dyDescent="0.45">
      <c r="B25" s="29"/>
      <c r="D25" s="147"/>
      <c r="E25" s="147"/>
      <c r="F25" s="147"/>
      <c r="G25" s="76"/>
      <c r="H25" s="85"/>
      <c r="I25" s="208"/>
      <c r="J25" s="208"/>
      <c r="K25" s="80"/>
      <c r="L25" s="64"/>
      <c r="M25" s="65"/>
      <c r="N25" s="145"/>
      <c r="O25" s="145"/>
      <c r="P25" s="145"/>
    </row>
    <row r="26" spans="2:20" x14ac:dyDescent="0.45">
      <c r="B26" s="29"/>
      <c r="C26" s="153"/>
      <c r="E26" s="147"/>
      <c r="F26" s="147"/>
      <c r="G26" s="76"/>
      <c r="H26" s="56"/>
      <c r="I26" s="56"/>
      <c r="J26" s="56"/>
      <c r="K26" s="150"/>
      <c r="L26" s="64"/>
      <c r="M26" s="65"/>
      <c r="N26" s="145"/>
      <c r="O26" s="145"/>
      <c r="P26" s="145"/>
    </row>
    <row r="27" spans="2:20" ht="20.149999999999999" customHeight="1" x14ac:dyDescent="0.45">
      <c r="B27" s="29"/>
      <c r="C27" s="212"/>
      <c r="D27" s="501"/>
      <c r="E27" s="501"/>
      <c r="F27" s="501"/>
      <c r="G27" s="76"/>
      <c r="H27" s="85"/>
      <c r="I27" s="497"/>
      <c r="J27" s="497"/>
      <c r="K27" s="150"/>
      <c r="L27" s="64"/>
      <c r="M27" s="65"/>
      <c r="N27" s="145"/>
      <c r="O27" s="145"/>
      <c r="P27" s="145"/>
      <c r="S27" s="19" t="s">
        <v>401</v>
      </c>
      <c r="T27" s="19" t="s">
        <v>452</v>
      </c>
    </row>
    <row r="28" spans="2:20" x14ac:dyDescent="0.45">
      <c r="B28" s="29"/>
      <c r="C28" s="147"/>
      <c r="D28" s="147"/>
      <c r="E28" s="147"/>
      <c r="F28" s="147"/>
      <c r="G28" s="76"/>
      <c r="H28" s="85"/>
      <c r="I28" s="208"/>
      <c r="J28" s="208"/>
      <c r="K28" s="80"/>
      <c r="L28" s="64"/>
      <c r="M28" s="65"/>
      <c r="N28" s="145"/>
      <c r="O28" s="145"/>
      <c r="P28" s="145"/>
    </row>
    <row r="29" spans="2:20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0" ht="20.149999999999999" customHeight="1" thickBot="1" x14ac:dyDescent="0.5">
      <c r="B30" s="36"/>
      <c r="L30" s="37"/>
    </row>
    <row r="31" spans="2:20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108</v>
      </c>
      <c r="M31" s="63">
        <f>SUM(P18:P29)</f>
        <v>0</v>
      </c>
      <c r="N31" s="133">
        <f>M31/L31</f>
        <v>0</v>
      </c>
    </row>
    <row r="32" spans="2:20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J35:K35"/>
    <mergeCell ref="D29:F29"/>
    <mergeCell ref="I29:J29"/>
    <mergeCell ref="J31:K31"/>
    <mergeCell ref="J33:K33"/>
    <mergeCell ref="I27:J27"/>
    <mergeCell ref="D27:F27"/>
    <mergeCell ref="D19:F19"/>
    <mergeCell ref="I19:J19"/>
    <mergeCell ref="D24:F24"/>
    <mergeCell ref="I24:J24"/>
    <mergeCell ref="D20:F20"/>
    <mergeCell ref="I20:J20"/>
    <mergeCell ref="D23:F23"/>
    <mergeCell ref="I23:J23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</mergeCells>
  <conditionalFormatting sqref="C26">
    <cfRule type="duplicateValues" dxfId="216" priority="1"/>
  </conditionalFormatting>
  <conditionalFormatting sqref="C27">
    <cfRule type="duplicateValues" dxfId="215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43"/>
  <sheetViews>
    <sheetView topLeftCell="A2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136</v>
      </c>
      <c r="J10" s="24" t="s">
        <v>27</v>
      </c>
      <c r="K10" s="493">
        <v>202501158</v>
      </c>
      <c r="L10" s="494"/>
    </row>
    <row r="11" spans="2:12" ht="20.149999999999999" customHeight="1" x14ac:dyDescent="0.45">
      <c r="B11" s="477" t="s">
        <v>361</v>
      </c>
      <c r="C11" s="478"/>
      <c r="D11" s="479"/>
      <c r="E11" s="25"/>
      <c r="F11" s="480" t="str">
        <f>VLOOKUP(H10,'Delivery Location'!A$4:N$460,2,0)</f>
        <v>Dessert First Pte Ltd                                   37, #01-407 Jalan Rummah Tinggi Singapore 150037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3"/>
      <c r="C13" s="484"/>
      <c r="D13" s="485"/>
      <c r="E13" s="25"/>
      <c r="F13" s="483"/>
      <c r="G13" s="484"/>
      <c r="H13" s="485"/>
      <c r="J13" s="26" t="s">
        <v>10</v>
      </c>
      <c r="K13" s="463" t="s">
        <v>1280</v>
      </c>
      <c r="L13" s="464"/>
    </row>
    <row r="14" spans="2:12" ht="20.149999999999999" customHeight="1" x14ac:dyDescent="0.45">
      <c r="B14" s="483"/>
      <c r="C14" s="484"/>
      <c r="D14" s="485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/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B16" s="147"/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58"/>
      <c r="C18" s="212" t="s">
        <v>721</v>
      </c>
      <c r="D18" s="461" t="str">
        <f>VLOOKUP(C18,'Sales Master'!B$3:D$530,2,)</f>
        <v xml:space="preserve">Fresh Soursop 红毛榴莲 </v>
      </c>
      <c r="E18" s="461"/>
      <c r="F18" s="461"/>
      <c r="G18" s="17">
        <v>4</v>
      </c>
      <c r="H18" s="186" t="str">
        <f>VLOOKUP(C18,'Sales Master'!$B$3:$F$2413,5,0)</f>
        <v>GW:5 KG/ Pkt包</v>
      </c>
      <c r="I18" s="497" t="str">
        <f>VLOOKUP(C18,'Sales Master'!$B$3:$E$2413,4,0)</f>
        <v>DO!</v>
      </c>
      <c r="J18" s="497"/>
      <c r="K18" s="30">
        <f>VLOOKUP(C18,'Sales Master'!B$3:$Z$530,25,0)</f>
        <v>34</v>
      </c>
      <c r="L18" s="64">
        <f>K18*G18</f>
        <v>136</v>
      </c>
      <c r="M18" s="65"/>
      <c r="N18" s="145">
        <f>VLOOKUP(C18,'Sales Master'!$B$3:$DA$2272,104,0)</f>
        <v>24.39</v>
      </c>
      <c r="O18" s="145">
        <f>K18-N18</f>
        <v>9.61</v>
      </c>
      <c r="P18" s="145">
        <f>O18*G18</f>
        <v>38.44</v>
      </c>
    </row>
    <row r="19" spans="2:16" ht="20.149999999999999" customHeight="1" x14ac:dyDescent="0.45">
      <c r="B19" s="364"/>
      <c r="C19" s="212" t="s">
        <v>953</v>
      </c>
      <c r="D19" s="461" t="str">
        <f>VLOOKUP(C19,'Sales Master'!B$3:D$530,2,)</f>
        <v>Aloe Vera 芦荟 10mm</v>
      </c>
      <c r="E19" s="461"/>
      <c r="F19" s="461"/>
      <c r="G19" s="17">
        <v>1</v>
      </c>
      <c r="H19" s="186" t="str">
        <f>VLOOKUP(C19,'Sales Master'!$B$3:$F$2413,5,0)</f>
        <v>1 Can X A10</v>
      </c>
      <c r="I19" s="497" t="str">
        <f>VLOOKUP(C19,'Sales Master'!$B$3:$E$2413,4,0)</f>
        <v>Chefs</v>
      </c>
      <c r="J19" s="497"/>
      <c r="K19" s="30">
        <f>VLOOKUP(C19,'Sales Master'!B$3:$Z$530,25,0)</f>
        <v>10</v>
      </c>
      <c r="L19" s="64">
        <f>K19*G19</f>
        <v>10</v>
      </c>
      <c r="M19" s="65"/>
      <c r="N19" s="145">
        <f>VLOOKUP(C19,'Sales Master'!$B$3:$DA$2272,104,0)</f>
        <v>7</v>
      </c>
      <c r="O19" s="145">
        <f>K19-N19</f>
        <v>3</v>
      </c>
      <c r="P19" s="145">
        <f>O19*G19</f>
        <v>3</v>
      </c>
    </row>
    <row r="20" spans="2:16" ht="20.149999999999999" customHeight="1" x14ac:dyDescent="0.45">
      <c r="B20" s="58"/>
      <c r="C20" s="212" t="s">
        <v>991</v>
      </c>
      <c r="D20" s="461" t="str">
        <f>VLOOKUP(C20,'Sales Master'!B$3:D$530,2,)</f>
        <v>Coconut Milk 椰浆小</v>
      </c>
      <c r="E20" s="461"/>
      <c r="F20" s="461"/>
      <c r="G20" s="17">
        <v>1</v>
      </c>
      <c r="H20" s="186" t="str">
        <f>VLOOKUP(C20,'Sales Master'!$B$3:$F$2413,5,0)</f>
        <v>(200gm x 30bag)/箱</v>
      </c>
      <c r="I20" s="497" t="str">
        <f>VLOOKUP(C20,'Sales Master'!$B$3:$E$2413,4,0)</f>
        <v>Kara UHT</v>
      </c>
      <c r="J20" s="497"/>
      <c r="K20" s="30">
        <f>VLOOKUP(C20,'Sales Master'!B$3:$Z$530,25,0)</f>
        <v>26</v>
      </c>
      <c r="L20" s="64">
        <f>K20*G20</f>
        <v>26</v>
      </c>
      <c r="M20" s="65"/>
      <c r="N20" s="145">
        <f>VLOOKUP(C20,'Sales Master'!$B$3:$DA$2272,104,0)</f>
        <v>21.5</v>
      </c>
      <c r="O20" s="145">
        <f>K20-N20</f>
        <v>4.5</v>
      </c>
      <c r="P20" s="145">
        <f>O20*G20</f>
        <v>4.5</v>
      </c>
    </row>
    <row r="21" spans="2:16" ht="20.149999999999999" customHeight="1" x14ac:dyDescent="0.45">
      <c r="B21" s="58"/>
      <c r="C21" s="212" t="s">
        <v>1014</v>
      </c>
      <c r="D21" s="461" t="str">
        <f>VLOOKUP(C21,'Sales Master'!B$3:D$530,2,)</f>
        <v>Fine Sugar 白糖</v>
      </c>
      <c r="E21" s="461"/>
      <c r="F21" s="461"/>
      <c r="G21" s="17">
        <v>2</v>
      </c>
      <c r="H21" s="186" t="str">
        <f>VLOOKUP(C21,'Sales Master'!$B$3:$F$2413,5,0)</f>
        <v>25 KGS</v>
      </c>
      <c r="I21" s="497" t="str">
        <f>VLOOKUP(C21,'Sales Master'!$B$3:$E$2413,4,0)</f>
        <v>MITR PHOL/ 蜜朋</v>
      </c>
      <c r="J21" s="497"/>
      <c r="K21" s="30">
        <f>VLOOKUP(C21,'Sales Master'!B$3:$Z$530,25,0)</f>
        <v>31.5</v>
      </c>
      <c r="L21" s="64">
        <f>K21*G21</f>
        <v>63</v>
      </c>
      <c r="M21" s="65"/>
      <c r="N21" s="145">
        <f>VLOOKUP(C21,'Sales Master'!$B$3:$DA$2272,104,0)</f>
        <v>24.5</v>
      </c>
      <c r="O21" s="145">
        <f>K21-N21</f>
        <v>7</v>
      </c>
      <c r="P21" s="145">
        <f>O21*G21</f>
        <v>14</v>
      </c>
    </row>
    <row r="22" spans="2:16" ht="20.149999999999999" customHeight="1" x14ac:dyDescent="0.45">
      <c r="B22" s="58"/>
      <c r="C22" s="212"/>
      <c r="D22" s="461"/>
      <c r="E22" s="461"/>
      <c r="F22" s="461"/>
      <c r="G22" s="17"/>
      <c r="H22" s="186"/>
      <c r="I22" s="497"/>
      <c r="J22" s="497"/>
      <c r="K22" s="521"/>
      <c r="L22" s="522"/>
      <c r="M22" s="65"/>
      <c r="N22" s="145"/>
      <c r="O22" s="145"/>
      <c r="P22" s="145"/>
    </row>
    <row r="23" spans="2:16" ht="20.149999999999999" customHeight="1" x14ac:dyDescent="0.45">
      <c r="B23" s="58"/>
      <c r="G23" s="17"/>
      <c r="H23" s="186"/>
      <c r="I23" s="186"/>
      <c r="J23" s="18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153"/>
      <c r="G24" s="76"/>
      <c r="H24" s="211"/>
      <c r="I24" s="462"/>
      <c r="J24" s="462"/>
      <c r="K24" s="83"/>
      <c r="L24" s="64"/>
      <c r="M24" s="65"/>
    </row>
    <row r="25" spans="2:16" ht="20.149999999999999" customHeight="1" x14ac:dyDescent="0.45">
      <c r="B25" s="58"/>
      <c r="C25" s="212"/>
      <c r="D25" s="461"/>
      <c r="E25" s="461"/>
      <c r="F25" s="461"/>
      <c r="G25" s="76"/>
      <c r="H25" s="211"/>
      <c r="I25" s="462"/>
      <c r="J25" s="462"/>
      <c r="K25" s="83"/>
      <c r="L25" s="64"/>
      <c r="M25" s="65"/>
    </row>
    <row r="26" spans="2:16" ht="20.149999999999999" customHeight="1" x14ac:dyDescent="0.45">
      <c r="B26" s="58"/>
      <c r="L26" s="64"/>
      <c r="M26" s="65"/>
    </row>
    <row r="27" spans="2:16" ht="20.149999999999999" customHeight="1" x14ac:dyDescent="0.45">
      <c r="B27" s="58"/>
      <c r="L27" s="64"/>
      <c r="M27" s="65"/>
    </row>
    <row r="28" spans="2:16" ht="20.149999999999999" customHeight="1" x14ac:dyDescent="0.45">
      <c r="B28" s="58"/>
      <c r="C28" s="17"/>
      <c r="D28" s="445"/>
      <c r="E28" s="445"/>
      <c r="F28" s="445"/>
      <c r="G28" s="76"/>
      <c r="H28" s="82"/>
      <c r="I28" s="446"/>
      <c r="J28" s="446"/>
      <c r="K28" s="150"/>
      <c r="L28" s="64"/>
      <c r="M28" s="65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SUM(L17:L28)</f>
        <v>235</v>
      </c>
      <c r="M31" s="63">
        <f>SUM(P18:P29)</f>
        <v>59.94</v>
      </c>
      <c r="N31" s="133">
        <f>M31/L31</f>
        <v>0.25506382978723402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235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21.15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256.14999999999998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J35:K35"/>
    <mergeCell ref="D29:F29"/>
    <mergeCell ref="I29:J29"/>
    <mergeCell ref="J31:K31"/>
    <mergeCell ref="J33:K33"/>
    <mergeCell ref="D28:F28"/>
    <mergeCell ref="I28:J28"/>
    <mergeCell ref="D20:F20"/>
    <mergeCell ref="I20:J20"/>
    <mergeCell ref="K22:L22"/>
    <mergeCell ref="I24:J24"/>
    <mergeCell ref="D25:F25"/>
    <mergeCell ref="I25:J25"/>
    <mergeCell ref="D22:F22"/>
    <mergeCell ref="I22:J22"/>
    <mergeCell ref="D21:F21"/>
    <mergeCell ref="I21:J21"/>
    <mergeCell ref="I19:J19"/>
    <mergeCell ref="B13:D15"/>
    <mergeCell ref="B1:L8"/>
    <mergeCell ref="K10:L10"/>
    <mergeCell ref="B11:D11"/>
    <mergeCell ref="F11:H15"/>
    <mergeCell ref="K11:L11"/>
    <mergeCell ref="K12:L12"/>
    <mergeCell ref="K13:L13"/>
    <mergeCell ref="K14:L14"/>
    <mergeCell ref="K15:L15"/>
    <mergeCell ref="D17:F17"/>
    <mergeCell ref="I17:J17"/>
    <mergeCell ref="D18:F18"/>
    <mergeCell ref="I18:J18"/>
    <mergeCell ref="D19:F19"/>
  </mergeCells>
  <conditionalFormatting sqref="C24">
    <cfRule type="duplicateValues" dxfId="214" priority="1"/>
  </conditionalFormatting>
  <pageMargins left="0.70866141732283472" right="0.31496062992125984" top="0.23622047244094491" bottom="0" header="0.31496062992125984" footer="0.31496062992125984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4"/>
  <sheetViews>
    <sheetView topLeftCell="B17" workbookViewId="0">
      <selection activeCell="C26" sqref="C26:K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81640625" style="19" customWidth="1"/>
    <col min="9" max="9" width="1.7265625" style="19" customWidth="1"/>
    <col min="10" max="10" width="13.45312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137</v>
      </c>
      <c r="J10" s="24" t="s">
        <v>27</v>
      </c>
      <c r="K10" s="493">
        <v>202501124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           Block 500, Toa Payoh Centre. Lorong 6     #02-30  Singapore 310500                                                                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29"/>
      <c r="C18" s="212" t="s">
        <v>799</v>
      </c>
      <c r="D18" s="492" t="str">
        <f>VLOOKUP(C18,'Sales Master'!B$3:D$530,2,)</f>
        <v>Sweet Potato Powder 番薯粉</v>
      </c>
      <c r="E18" s="492"/>
      <c r="F18" s="492"/>
      <c r="G18" s="17">
        <v>4</v>
      </c>
      <c r="H18" s="186" t="str">
        <f>VLOOKUP(C18,'Sales Master'!$B$3:$F$2481,5,0)</f>
        <v>3 kgs</v>
      </c>
      <c r="I18" s="497" t="str">
        <f>VLOOKUP(C18,'Sales Master'!$B$3:$E$2481,4,0)</f>
        <v>RE-PACK</v>
      </c>
      <c r="J18" s="497"/>
      <c r="K18" s="30">
        <f>VLOOKUP(C18,'Sales Master'!B$3:J$530,9,0)</f>
        <v>10.5</v>
      </c>
      <c r="L18" s="64">
        <f t="shared" ref="L18" si="0">K18*G18</f>
        <v>42</v>
      </c>
      <c r="M18" s="65"/>
      <c r="N18" s="418"/>
      <c r="O18" s="418"/>
      <c r="P18" s="418"/>
    </row>
    <row r="19" spans="2:16" ht="20.149999999999999" customHeight="1" x14ac:dyDescent="0.45">
      <c r="B19" s="29"/>
      <c r="C19" s="212" t="s">
        <v>892</v>
      </c>
      <c r="D19" s="461" t="str">
        <f>VLOOKUP(C19,'Sales Master'!B$3:D$530,2,)</f>
        <v>Chrysanthemum 菊花</v>
      </c>
      <c r="E19" s="461"/>
      <c r="F19" s="461"/>
      <c r="G19" s="17">
        <v>1</v>
      </c>
      <c r="H19" s="186" t="str">
        <f>VLOOKUP(C19,'Sales Master'!$B$3:$F$2481,5,0)</f>
        <v>100gm x 10PKT/Bag</v>
      </c>
      <c r="I19" s="497" t="str">
        <f>VLOOKUP(C19,'Sales Master'!$B$3:$E$2481,4,0)</f>
        <v>-</v>
      </c>
      <c r="J19" s="497"/>
      <c r="K19" s="30">
        <f>VLOOKUP(C19,'Sales Master'!B$3:J$530,9,0)</f>
        <v>20</v>
      </c>
      <c r="L19" s="64">
        <f>K19*G19</f>
        <v>20</v>
      </c>
      <c r="M19" s="65"/>
      <c r="N19" s="418"/>
      <c r="O19" s="418"/>
      <c r="P19" s="418"/>
    </row>
    <row r="20" spans="2:16" ht="20.149999999999999" customHeight="1" x14ac:dyDescent="0.45">
      <c r="B20" s="29"/>
      <c r="C20" s="212" t="s">
        <v>990</v>
      </c>
      <c r="D20" s="461" t="str">
        <f>VLOOKUP(C20,'Sales Master'!B$3:D$530,2,)</f>
        <v>Coconut Milk 椰浆</v>
      </c>
      <c r="E20" s="461"/>
      <c r="F20" s="461"/>
      <c r="G20" s="17">
        <v>4</v>
      </c>
      <c r="H20" s="186" t="str">
        <f>VLOOKUP(C20,'Sales Master'!$B$3:$F$2481,5,0)</f>
        <v>(1L x 12bag)/箱</v>
      </c>
      <c r="I20" s="497" t="str">
        <f>VLOOKUP(C20,'Sales Master'!$B$3:$E$2481,4,0)</f>
        <v>Kara UHT</v>
      </c>
      <c r="J20" s="497"/>
      <c r="K20" s="30">
        <f>VLOOKUP(C20,'Sales Master'!B$3:J$530,9,0)</f>
        <v>42</v>
      </c>
      <c r="L20" s="64">
        <f>K20*G20</f>
        <v>168</v>
      </c>
      <c r="M20" s="65"/>
      <c r="N20" s="418"/>
      <c r="O20" s="418"/>
      <c r="P20" s="418"/>
    </row>
    <row r="21" spans="2:16" ht="20.149999999999999" customHeight="1" x14ac:dyDescent="0.45">
      <c r="B21" s="29"/>
      <c r="C21" s="212" t="s">
        <v>1011</v>
      </c>
      <c r="D21" s="461" t="str">
        <f>VLOOKUP(C21,'Sales Master'!B$3:D$530,2,)</f>
        <v>Brown Sugar 黑糖</v>
      </c>
      <c r="E21" s="461"/>
      <c r="F21" s="461"/>
      <c r="G21" s="17">
        <v>3</v>
      </c>
      <c r="H21" s="186" t="str">
        <f>VLOOKUP(C21,'Sales Master'!$B$3:$F$2481,5,0)</f>
        <v>6 KG</v>
      </c>
      <c r="I21" s="497" t="str">
        <f>VLOOKUP(C21,'Sales Master'!$B$3:$E$2481,4,0)</f>
        <v>Star</v>
      </c>
      <c r="J21" s="497"/>
      <c r="K21" s="30">
        <f>VLOOKUP(C21,'Sales Master'!B$3:J$530,9,0)</f>
        <v>15</v>
      </c>
      <c r="L21" s="64">
        <f>K21*G21</f>
        <v>45</v>
      </c>
      <c r="M21" s="65"/>
      <c r="N21" s="418"/>
      <c r="O21" s="418"/>
      <c r="P21" s="418"/>
    </row>
    <row r="22" spans="2:16" ht="20.149999999999999" customHeight="1" x14ac:dyDescent="0.45">
      <c r="B22" s="29"/>
      <c r="C22" s="212" t="s">
        <v>1033</v>
      </c>
      <c r="D22" s="461" t="str">
        <f>VLOOKUP(C22,'Sales Master'!B$3:D$530,2,)</f>
        <v>Pandan Leaf 班兰叶</v>
      </c>
      <c r="E22" s="461"/>
      <c r="F22" s="461"/>
      <c r="G22" s="17">
        <v>2</v>
      </c>
      <c r="H22" s="186" t="str">
        <f>VLOOKUP(C22,'Sales Master'!$B$3:$F$2481,5,0)</f>
        <v>1 KG</v>
      </c>
      <c r="I22" s="497" t="str">
        <f>VLOOKUP(C22,'Sales Master'!$B$3:$E$2481,4,0)</f>
        <v>-</v>
      </c>
      <c r="J22" s="497"/>
      <c r="K22" s="30">
        <f>VLOOKUP(C22,'Sales Master'!B$3:J$530,9,0)</f>
        <v>1.8</v>
      </c>
      <c r="L22" s="64">
        <f>K22*G22</f>
        <v>3.6</v>
      </c>
      <c r="M22" s="65"/>
      <c r="N22" s="418"/>
      <c r="O22" s="418"/>
      <c r="P22" s="418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G25" s="17"/>
      <c r="H25" s="56"/>
      <c r="I25" s="473"/>
      <c r="J25" s="473"/>
      <c r="K25" s="30"/>
      <c r="L25" s="64"/>
      <c r="M25" s="65"/>
    </row>
    <row r="26" spans="2:16" ht="20.149999999999999" customHeight="1" x14ac:dyDescent="0.45">
      <c r="B26" s="29"/>
      <c r="C26" s="149" t="s">
        <v>2317</v>
      </c>
      <c r="D26" s="403"/>
      <c r="E26" s="403"/>
      <c r="F26" s="403"/>
      <c r="G26" s="76"/>
      <c r="H26" s="186"/>
      <c r="I26" s="497"/>
      <c r="J26" s="497"/>
      <c r="K26" s="190"/>
      <c r="L26" s="64"/>
      <c r="M26" s="65"/>
    </row>
    <row r="27" spans="2:16" ht="20.149999999999999" customHeight="1" x14ac:dyDescent="0.45">
      <c r="B27" s="29"/>
      <c r="C27" s="212" t="s">
        <v>990</v>
      </c>
      <c r="D27" s="501" t="str">
        <f>VLOOKUP(C27,'[3]Sales Master'!B$3:D$663,2,0)</f>
        <v>Coconut Milk 椰浆</v>
      </c>
      <c r="E27" s="501"/>
      <c r="F27" s="501"/>
      <c r="G27" s="17">
        <v>1</v>
      </c>
      <c r="H27" s="186" t="str">
        <f>VLOOKUP(C27,'[3]Sales Master'!B$3:F$955,5,0)</f>
        <v>(1L x 12bag)/箱</v>
      </c>
      <c r="I27" s="497" t="str">
        <f>VLOOKUP(C27,'[3]Sales Master'!B$3:E$955,4,0)</f>
        <v>Kara UHT</v>
      </c>
      <c r="J27" s="497"/>
      <c r="K27" s="190">
        <v>48</v>
      </c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278.60000000000002</v>
      </c>
      <c r="M31" s="63">
        <f>SUM(P18:P30)-L31*0.02</f>
        <v>-5.572000000000001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278.60000000000002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25.074000000000002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303.67400000000004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64" spans="8:16" x14ac:dyDescent="0.45">
      <c r="H1048564" s="186" t="e">
        <f>VLOOKUP(C1048564,'Sales Master'!$B$3:$F$2481,5,0)</f>
        <v>#N/A</v>
      </c>
      <c r="I1048564" s="516" t="e">
        <f>VLOOKUP(C1048564,'Sales Master'!$B$3:$E$2481,4,0)</f>
        <v>#N/A</v>
      </c>
      <c r="J1048564" s="516"/>
      <c r="K1048564" s="30" t="e">
        <f>VLOOKUP(C1048564,'Sales Master'!B$3:J$530,9,0)</f>
        <v>#N/A</v>
      </c>
      <c r="L1048564" s="64" t="e">
        <f>K1048564*G1048564</f>
        <v>#N/A</v>
      </c>
      <c r="M1048564" s="65"/>
      <c r="N1048564" s="145" t="e">
        <f>VLOOKUP(C1048564,'Sales Master'!$B$3:$DA$2272,104,0)</f>
        <v>#N/A</v>
      </c>
      <c r="O1048564" s="145" t="e">
        <f>K1048564-N1048564</f>
        <v>#N/A</v>
      </c>
      <c r="P1048564" s="145" t="e">
        <f>O1048564*G1048564</f>
        <v>#N/A</v>
      </c>
    </row>
  </sheetData>
  <mergeCells count="4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2:J22"/>
    <mergeCell ref="I20:J20"/>
    <mergeCell ref="D24:F24"/>
    <mergeCell ref="I24:J24"/>
    <mergeCell ref="I19:J19"/>
    <mergeCell ref="D18:F18"/>
    <mergeCell ref="I18:J18"/>
    <mergeCell ref="D23:F23"/>
    <mergeCell ref="I23:J23"/>
    <mergeCell ref="D21:F21"/>
    <mergeCell ref="I21:J21"/>
    <mergeCell ref="D20:F20"/>
    <mergeCell ref="D22:F22"/>
    <mergeCell ref="I1048564:J1048564"/>
    <mergeCell ref="B1:L8"/>
    <mergeCell ref="J31:K31"/>
    <mergeCell ref="J33:K33"/>
    <mergeCell ref="J35:K35"/>
    <mergeCell ref="D27:F27"/>
    <mergeCell ref="I27:J27"/>
    <mergeCell ref="D28:F28"/>
    <mergeCell ref="I28:J28"/>
    <mergeCell ref="D29:F29"/>
    <mergeCell ref="I29:J29"/>
    <mergeCell ref="I25:J25"/>
    <mergeCell ref="I26:J26"/>
    <mergeCell ref="D19:F19"/>
    <mergeCell ref="D17:F17"/>
  </mergeCells>
  <conditionalFormatting sqref="C26">
    <cfRule type="duplicateValues" dxfId="213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44"/>
  <sheetViews>
    <sheetView topLeftCell="A2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</v>
      </c>
      <c r="J10" s="24" t="s">
        <v>27</v>
      </c>
      <c r="K10" s="493">
        <v>202501123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Koufu- Dessert                                                         Block 500, Toa Payoh Centre. Lorong 6     #02-30   Singapore 310500                                         </v>
      </c>
      <c r="G11" s="481"/>
      <c r="H11" s="482"/>
      <c r="J11" s="26" t="s">
        <v>9</v>
      </c>
      <c r="K11" s="495">
        <v>45663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M12" s="93"/>
      <c r="N12" s="93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76">
        <v>2</v>
      </c>
      <c r="H18" s="186" t="str">
        <f>VLOOKUP(C18,'Sales Master'!$B$3:$F$2481,5,0)</f>
        <v>5 KG</v>
      </c>
      <c r="I18" s="497" t="str">
        <f>VLOOKUP(C18,'Sales Master'!$B$3:$E$2481,4,0)</f>
        <v>-</v>
      </c>
      <c r="J18" s="497"/>
      <c r="K18" s="30">
        <f>VLOOKUP(C18,'Sales Master'!B$3:J$530,9,0)</f>
        <v>10</v>
      </c>
      <c r="L18" s="64">
        <f t="shared" ref="L18" si="0">K18*G18</f>
        <v>20</v>
      </c>
      <c r="M18" s="65"/>
    </row>
    <row r="19" spans="2:22" ht="20.149999999999999" customHeight="1" x14ac:dyDescent="0.45">
      <c r="B19" s="29"/>
      <c r="C19" s="212" t="s">
        <v>887</v>
      </c>
      <c r="D19" s="461" t="str">
        <f>VLOOKUP(C19,'Sales Master'!B$3:D$530,2,)</f>
        <v>Lotus Seed 莲子(无）</v>
      </c>
      <c r="E19" s="461"/>
      <c r="F19" s="461"/>
      <c r="G19" s="76">
        <v>8</v>
      </c>
      <c r="H19" s="186" t="str">
        <f>VLOOKUP(C19,'Sales Master'!$B$3:$F$2481,5,0)</f>
        <v>1 kg</v>
      </c>
      <c r="I19" s="497" t="str">
        <f>VLOOKUP(C19,'Sales Master'!$B$3:$E$2481,4,0)</f>
        <v>中</v>
      </c>
      <c r="J19" s="497"/>
      <c r="K19" s="30">
        <f>VLOOKUP(C19,'Sales Master'!B$3:J$530,9,0)</f>
        <v>25</v>
      </c>
      <c r="L19" s="64">
        <f t="shared" ref="L19:L24" si="1">K19*G19</f>
        <v>200</v>
      </c>
      <c r="M19" s="65"/>
    </row>
    <row r="20" spans="2:22" ht="20.149999999999999" customHeight="1" x14ac:dyDescent="0.45">
      <c r="B20" s="29"/>
      <c r="C20" s="212" t="s">
        <v>877</v>
      </c>
      <c r="D20" s="461" t="str">
        <f>VLOOKUP(C20,'Sales Master'!B$3:D$530,2,)</f>
        <v>Small Sago 小丸</v>
      </c>
      <c r="E20" s="461"/>
      <c r="F20" s="461"/>
      <c r="G20" s="76">
        <v>2</v>
      </c>
      <c r="H20" s="186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Master'!B$3:J$530,9,0)</f>
        <v>10</v>
      </c>
      <c r="L20" s="64">
        <f t="shared" si="1"/>
        <v>20</v>
      </c>
      <c r="M20" s="65"/>
    </row>
    <row r="21" spans="2:22" ht="20.149999999999999" customHeight="1" x14ac:dyDescent="0.45">
      <c r="B21" s="29"/>
      <c r="C21" s="212" t="s">
        <v>980</v>
      </c>
      <c r="D21" s="461" t="str">
        <f>VLOOKUP(C21,'Sales Master'!B$3:D$530,2,)</f>
        <v>GingKo Nut 白果罐</v>
      </c>
      <c r="E21" s="461"/>
      <c r="F21" s="461"/>
      <c r="G21" s="76">
        <v>2</v>
      </c>
      <c r="H21" s="186" t="str">
        <f>VLOOKUP(C21,'Sales Master'!$B$3:$F$2481,5,0)</f>
        <v>397 GM x 24/ Ctn箱</v>
      </c>
      <c r="I21" s="497" t="str">
        <f>VLOOKUP(C21,'Sales Master'!$B$3:$E$2481,4,0)</f>
        <v>MiLi</v>
      </c>
      <c r="J21" s="497"/>
      <c r="K21" s="30">
        <f>VLOOKUP(C21,'Sales Master'!B$3:J$530,9,0)</f>
        <v>32</v>
      </c>
      <c r="L21" s="64">
        <f t="shared" si="1"/>
        <v>64</v>
      </c>
      <c r="M21" s="65"/>
    </row>
    <row r="22" spans="2:22" ht="20.149999999999999" customHeight="1" x14ac:dyDescent="0.45">
      <c r="B22" s="29"/>
      <c r="C22" s="212" t="s">
        <v>1279</v>
      </c>
      <c r="D22" s="461" t="str">
        <f>VLOOKUP(C22,'Sales Master'!B$3:D$530,2,)</f>
        <v>Corn Cream 玉米浆</v>
      </c>
      <c r="E22" s="461"/>
      <c r="F22" s="461"/>
      <c r="G22" s="76">
        <v>2</v>
      </c>
      <c r="H22" s="186" t="str">
        <f>VLOOKUP(C22,'Sales Master'!$B$3:$F$2481,5,0)</f>
        <v>24 CAN/ Ctn</v>
      </c>
      <c r="I22" s="497" t="str">
        <f>VLOOKUP(C22,'Sales Master'!$B$3:$E$2481,4,0)</f>
        <v>Golden Boy</v>
      </c>
      <c r="J22" s="497"/>
      <c r="K22" s="30">
        <f>VLOOKUP(C22,'Sales Master'!B$3:J$530,9,0)</f>
        <v>20.5</v>
      </c>
      <c r="L22" s="64">
        <f>K22*G22</f>
        <v>41</v>
      </c>
      <c r="M22" s="65"/>
      <c r="S22" s="19" t="s">
        <v>353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212" t="s">
        <v>2258</v>
      </c>
      <c r="D23" s="461" t="str">
        <f>VLOOKUP(C23,'Sales Master'!B$3:D$530,2,)</f>
        <v>Longan in Syrup 龙眼</v>
      </c>
      <c r="E23" s="461"/>
      <c r="F23" s="461"/>
      <c r="G23" s="76">
        <v>2</v>
      </c>
      <c r="H23" s="186" t="str">
        <f>VLOOKUP(C23,'Sales Master'!$B$3:$F$2481,5,0)</f>
        <v>(565gm x 12)/ Ctn箱</v>
      </c>
      <c r="I23" s="497" t="str">
        <f>VLOOKUP(C23,'Sales Master'!$B$3:$E$2481,4,0)</f>
        <v>GoldenBoy</v>
      </c>
      <c r="J23" s="497"/>
      <c r="K23" s="30">
        <f>VLOOKUP(C23,'Sales Master'!B$3:J$530,9,0)</f>
        <v>24</v>
      </c>
      <c r="L23" s="64">
        <f t="shared" si="1"/>
        <v>48</v>
      </c>
      <c r="M23" s="65"/>
    </row>
    <row r="24" spans="2:22" ht="20.149999999999999" customHeight="1" x14ac:dyDescent="0.45">
      <c r="B24" s="29"/>
      <c r="C24" s="212" t="s">
        <v>1009</v>
      </c>
      <c r="D24" s="461" t="str">
        <f>VLOOKUP(C24,'Sales Master'!B$3:D$530,2,)</f>
        <v>Rock Sugar 冰糖</v>
      </c>
      <c r="E24" s="461"/>
      <c r="F24" s="461"/>
      <c r="G24" s="76">
        <v>2</v>
      </c>
      <c r="H24" s="186" t="str">
        <f>VLOOKUP(C24,'Sales Master'!$B$3:$F$2481,5,0)</f>
        <v>3 KG</v>
      </c>
      <c r="I24" s="497" t="str">
        <f>VLOOKUP(C24,'Sales Master'!$B$3:$E$2481,4,0)</f>
        <v>Star</v>
      </c>
      <c r="J24" s="497"/>
      <c r="K24" s="30">
        <f>VLOOKUP(C24,'Sales Master'!B$3:J$530,9,0)</f>
        <v>6.5</v>
      </c>
      <c r="L24" s="64">
        <f t="shared" si="1"/>
        <v>13</v>
      </c>
      <c r="M24" s="65"/>
    </row>
    <row r="25" spans="2:22" ht="20.149999999999999" customHeight="1" x14ac:dyDescent="0.45">
      <c r="B25" s="29"/>
      <c r="G25" s="76"/>
      <c r="H25" s="186"/>
      <c r="I25" s="208"/>
      <c r="J25" s="208"/>
      <c r="K25" s="30"/>
      <c r="L25" s="64"/>
      <c r="M25" s="65"/>
    </row>
    <row r="26" spans="2:22" ht="20.149999999999999" customHeight="1" x14ac:dyDescent="0.45">
      <c r="B26" s="29"/>
      <c r="G26" s="76"/>
      <c r="H26" s="186"/>
      <c r="I26" s="208"/>
      <c r="J26" s="208"/>
      <c r="K26" s="30"/>
      <c r="L26" s="64"/>
      <c r="M26" s="65"/>
    </row>
    <row r="27" spans="2:22" ht="20.149999999999999" customHeight="1" x14ac:dyDescent="0.45">
      <c r="B27" s="29"/>
      <c r="C27" s="147"/>
      <c r="G27" s="17"/>
      <c r="H27" s="56"/>
      <c r="I27" s="85"/>
      <c r="J27" s="85"/>
      <c r="K27" s="30"/>
      <c r="L27" s="64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64"/>
      <c r="M28" s="65"/>
    </row>
    <row r="29" spans="2:22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SUM(L18:L30)</f>
        <v>406</v>
      </c>
      <c r="M31" s="63">
        <f>SUM(P18:P30)-L31*0.02</f>
        <v>-8.120000000000001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406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36.54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442.54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1"/>
    </row>
  </sheetData>
  <mergeCells count="36">
    <mergeCell ref="D18:F18"/>
    <mergeCell ref="I18:J18"/>
    <mergeCell ref="D24:F24"/>
    <mergeCell ref="D22:F22"/>
    <mergeCell ref="I22:J22"/>
    <mergeCell ref="I24:J24"/>
    <mergeCell ref="D23:F23"/>
    <mergeCell ref="I23:J23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5:K35"/>
    <mergeCell ref="D28:F28"/>
    <mergeCell ref="I28:J28"/>
    <mergeCell ref="D29:F29"/>
    <mergeCell ref="I29:J29"/>
    <mergeCell ref="J31:K31"/>
    <mergeCell ref="J33:K3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140</v>
      </c>
      <c r="J10" s="24" t="s">
        <v>27</v>
      </c>
      <c r="K10" s="493">
        <v>202103071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(Dim sum)                                 180, Ang Mo Kio Ave 8. Block A unit 235 Nanyang Polythenic Singapore 569830                                    </v>
      </c>
      <c r="G11" s="481"/>
      <c r="H11" s="482"/>
      <c r="J11" s="26" t="s">
        <v>9</v>
      </c>
      <c r="K11" s="504">
        <v>44259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320</v>
      </c>
      <c r="D18" s="461" t="e">
        <f>VLOOKUP(C18,'Sales Master'!B$3:D$530,2,)</f>
        <v>#N/A</v>
      </c>
      <c r="E18" s="461"/>
      <c r="F18" s="461"/>
      <c r="G18" s="17">
        <v>2</v>
      </c>
      <c r="H18" s="56" t="e">
        <f>VLOOKUP(C18,'Sales Master'!$B$3:$F$2413,5,0)</f>
        <v>#N/A</v>
      </c>
      <c r="I18" s="491" t="e">
        <f>VLOOKUP(C18,'Sales Master'!$B$3:$E$2413,4,0)</f>
        <v>#N/A</v>
      </c>
      <c r="J18" s="491"/>
      <c r="K18" s="30" t="e">
        <f>VLOOKUP(C18,'Sales Master'!B$3:J$530,9,0)</f>
        <v>#N/A</v>
      </c>
      <c r="L18" s="64" t="e">
        <f>K18*G18</f>
        <v>#N/A</v>
      </c>
      <c r="M18" s="65"/>
      <c r="N18" s="19" t="s">
        <v>356</v>
      </c>
      <c r="O18" s="19" t="s">
        <v>232</v>
      </c>
      <c r="R18" s="19">
        <v>6</v>
      </c>
      <c r="S18" s="19" t="s">
        <v>54</v>
      </c>
      <c r="T18" s="19" t="s">
        <v>421</v>
      </c>
      <c r="V18" s="19">
        <v>6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64"/>
      <c r="M19" s="65"/>
      <c r="N19" s="19" t="s">
        <v>308</v>
      </c>
      <c r="O19" s="19" t="s">
        <v>332</v>
      </c>
      <c r="R19" s="19">
        <v>10</v>
      </c>
      <c r="S19" s="19" t="s">
        <v>413</v>
      </c>
      <c r="T19" s="19" t="s">
        <v>32</v>
      </c>
      <c r="V19" s="19">
        <v>22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64"/>
      <c r="M20" s="65"/>
      <c r="N20" s="19" t="s">
        <v>314</v>
      </c>
      <c r="O20" s="19" t="s">
        <v>254</v>
      </c>
      <c r="R20" s="19">
        <v>4</v>
      </c>
      <c r="S20" s="19" t="s">
        <v>398</v>
      </c>
      <c r="T20" s="19" t="s">
        <v>348</v>
      </c>
      <c r="V20" s="19">
        <v>13</v>
      </c>
    </row>
    <row r="21" spans="2:22" ht="20.149999999999999" customHeight="1" x14ac:dyDescent="0.45">
      <c r="B21" s="29"/>
      <c r="C21" s="17"/>
      <c r="G21" s="17"/>
      <c r="H21" s="56"/>
      <c r="I21" s="17"/>
      <c r="J21" s="17"/>
      <c r="K21" s="30"/>
      <c r="L21" s="64"/>
      <c r="M21" s="65"/>
      <c r="N21" s="19" t="s">
        <v>299</v>
      </c>
      <c r="O21" s="19" t="s">
        <v>236</v>
      </c>
      <c r="R21" s="19">
        <v>2</v>
      </c>
      <c r="S21" s="19" t="s">
        <v>41</v>
      </c>
      <c r="T21" s="19" t="s">
        <v>85</v>
      </c>
      <c r="V21" s="19">
        <v>13</v>
      </c>
    </row>
    <row r="22" spans="2:22" ht="20.149999999999999" customHeight="1" x14ac:dyDescent="0.45">
      <c r="B22" s="29"/>
      <c r="C22" s="17"/>
      <c r="G22" s="17"/>
      <c r="H22" s="56"/>
      <c r="I22" s="17"/>
      <c r="J22" s="17"/>
      <c r="K22" s="30"/>
      <c r="L22" s="64"/>
      <c r="M22" s="65"/>
      <c r="N22" s="19" t="s">
        <v>305</v>
      </c>
      <c r="O22" s="19" t="s">
        <v>248</v>
      </c>
      <c r="R22" s="19">
        <v>1</v>
      </c>
      <c r="S22" s="19" t="s">
        <v>353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  <c r="N23" s="19" t="s">
        <v>313</v>
      </c>
      <c r="O23" s="19" t="s">
        <v>231</v>
      </c>
      <c r="R23" s="19">
        <v>2</v>
      </c>
      <c r="S23" s="19" t="s">
        <v>34</v>
      </c>
      <c r="T23" s="19" t="s">
        <v>62</v>
      </c>
      <c r="V23" s="19">
        <v>6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64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73"/>
      <c r="J29" s="473"/>
      <c r="K29" s="30"/>
      <c r="L29" s="64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73"/>
      <c r="J30" s="473"/>
      <c r="K30" s="30"/>
      <c r="L30" s="64"/>
      <c r="M30" s="65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73"/>
      <c r="J31" s="473"/>
      <c r="K31" s="30"/>
      <c r="L31" s="64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73"/>
      <c r="J32" s="473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73"/>
      <c r="J33" s="473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73"/>
      <c r="J34" s="473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73"/>
      <c r="J35" s="473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73"/>
      <c r="J36" s="473"/>
      <c r="K36" s="30"/>
      <c r="L36" s="31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690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0:F20"/>
    <mergeCell ref="I20:J20"/>
    <mergeCell ref="D23:F23"/>
    <mergeCell ref="I23:J23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42"/>
  <sheetViews>
    <sheetView topLeftCell="A19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</v>
      </c>
      <c r="J10" s="24" t="s">
        <v>27</v>
      </c>
      <c r="K10" s="493">
        <v>202301275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Rasapura Masters                    2, Bayfront Avenue #B2-49A/50A Singapore 018972                              (Dim Dum)</v>
      </c>
      <c r="G11" s="481"/>
      <c r="H11" s="482"/>
      <c r="J11" s="26" t="s">
        <v>9</v>
      </c>
      <c r="K11" s="495">
        <v>44942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1481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212" t="s">
        <v>953</v>
      </c>
      <c r="D18" s="500" t="str">
        <f>VLOOKUP(C18,'Sales Master'!B$3:D$530,2,)</f>
        <v>Aloe Vera 芦荟 10mm</v>
      </c>
      <c r="E18" s="500"/>
      <c r="F18" s="500"/>
      <c r="G18" s="17">
        <v>18</v>
      </c>
      <c r="H18" s="186" t="str">
        <f>VLOOKUP(C18,'Sales Master'!$B$3:$F$2413,5,0)</f>
        <v>1 Can X A10</v>
      </c>
      <c r="I18" s="497" t="str">
        <f>VLOOKUP(C18,'Sales Master'!$B$3:$E$2413,4,0)</f>
        <v>Chefs</v>
      </c>
      <c r="J18" s="497"/>
      <c r="K18" s="30">
        <f>VLOOKUP(C18,'Sales Master'!$B$3:$J$530,9,0)</f>
        <v>10</v>
      </c>
      <c r="L18" s="92">
        <f>K18*G18</f>
        <v>180</v>
      </c>
    </row>
    <row r="19" spans="2:15" ht="20.149999999999999" customHeight="1" x14ac:dyDescent="0.45">
      <c r="B19" s="29"/>
      <c r="C19" s="212" t="s">
        <v>990</v>
      </c>
      <c r="D19" s="501" t="str">
        <f>VLOOKUP(C19,'Sales Master'!B$3:D$530,2,)</f>
        <v>Coconut Milk 椰浆</v>
      </c>
      <c r="E19" s="501"/>
      <c r="F19" s="501"/>
      <c r="G19" s="17">
        <v>5</v>
      </c>
      <c r="H19" s="186" t="str">
        <f>VLOOKUP(C19,'Sales Master'!$B$3:$F$2413,5,0)</f>
        <v>(1L x 12bag)/箱</v>
      </c>
      <c r="I19" s="497" t="str">
        <f>VLOOKUP(C19,'Sales Master'!$B$3:$E$2413,4,0)</f>
        <v>Kara UHT</v>
      </c>
      <c r="J19" s="497"/>
      <c r="K19" s="30">
        <f>VLOOKUP(C19,'Sales Master'!$B$3:$J$530,9,0)</f>
        <v>42</v>
      </c>
      <c r="L19" s="92">
        <f>K19*G19</f>
        <v>210</v>
      </c>
    </row>
    <row r="20" spans="2:15" ht="20.149999999999999" customHeight="1" x14ac:dyDescent="0.45">
      <c r="B20" s="29"/>
      <c r="C20" s="212" t="s">
        <v>736</v>
      </c>
      <c r="D20" s="501" t="str">
        <f>VLOOKUP(C20,'Sales Master'!B$3:D$530,2,)</f>
        <v>Bobo ChaCha Cubes 摩摩喳喳</v>
      </c>
      <c r="E20" s="501"/>
      <c r="F20" s="501"/>
      <c r="G20" s="17">
        <v>6</v>
      </c>
      <c r="H20" s="186" t="str">
        <f>VLOOKUP(C20,'Sales Master'!$B$3:$F$2413,5,0)</f>
        <v>800 GM/ Bag包</v>
      </c>
      <c r="I20" s="497" t="str">
        <f>VLOOKUP(C20,'Sales Master'!$B$3:$E$2413,4,0)</f>
        <v>DO!</v>
      </c>
      <c r="J20" s="497"/>
      <c r="K20" s="30">
        <f>VLOOKUP(C20,'Sales Master'!$B$3:$J$530,9,0)</f>
        <v>6</v>
      </c>
      <c r="L20" s="92">
        <f>K20*G20</f>
        <v>36</v>
      </c>
    </row>
    <row r="21" spans="2:15" ht="20.149999999999999" customHeight="1" x14ac:dyDescent="0.45">
      <c r="B21" s="29"/>
      <c r="C21" s="212" t="s">
        <v>880</v>
      </c>
      <c r="D21" s="501" t="str">
        <f>VLOOKUP(C21,'Sales Master'!B$3:D$530,2,)</f>
        <v>Dried Longan 龙眼干</v>
      </c>
      <c r="E21" s="501"/>
      <c r="F21" s="501"/>
      <c r="G21" s="17">
        <v>10</v>
      </c>
      <c r="H21" s="186" t="str">
        <f>VLOOKUP(C21,'Sales Master'!$B$3:$F$2413,5,0)</f>
        <v>1 kg</v>
      </c>
      <c r="I21" s="497" t="str">
        <f>VLOOKUP(C21,'Sales Master'!$B$3:$E$2413,4,0)</f>
        <v>TL</v>
      </c>
      <c r="J21" s="497"/>
      <c r="K21" s="30">
        <f>VLOOKUP(C21,'Sales Master'!$B$3:$J$530,9,0)</f>
        <v>12</v>
      </c>
      <c r="L21" s="92">
        <f>K21*G21</f>
        <v>120</v>
      </c>
    </row>
    <row r="22" spans="2:15" ht="20.149999999999999" customHeight="1" x14ac:dyDescent="0.45">
      <c r="B22" s="29"/>
      <c r="C22" s="17"/>
      <c r="D22" s="501"/>
      <c r="E22" s="501"/>
      <c r="F22" s="501"/>
      <c r="G22" s="17"/>
      <c r="H22" s="56"/>
      <c r="I22" s="491"/>
      <c r="J22" s="491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5" ht="20.149999999999999" customHeight="1" x14ac:dyDescent="0.45">
      <c r="B25" s="29"/>
      <c r="C25" s="149" t="s">
        <v>2317</v>
      </c>
      <c r="D25" s="403"/>
      <c r="E25" s="403"/>
      <c r="F25" s="403"/>
      <c r="G25" s="76"/>
      <c r="H25" s="186"/>
      <c r="I25" s="497"/>
      <c r="J25" s="497"/>
      <c r="K25" s="190"/>
      <c r="L25" s="31"/>
    </row>
    <row r="26" spans="2:15" ht="20.149999999999999" customHeight="1" x14ac:dyDescent="0.45">
      <c r="B26" s="29"/>
      <c r="C26" s="212" t="s">
        <v>990</v>
      </c>
      <c r="D26" s="501" t="str">
        <f>VLOOKUP(C26,'[3]Sales Master'!B$3:D$663,2,0)</f>
        <v>Coconut Milk 椰浆</v>
      </c>
      <c r="E26" s="501"/>
      <c r="F26" s="501"/>
      <c r="G26" s="17">
        <v>1</v>
      </c>
      <c r="H26" s="186" t="str">
        <f>VLOOKUP(C26,'[3]Sales Master'!B$3:F$955,5,0)</f>
        <v>(1L x 12bag)/箱</v>
      </c>
      <c r="I26" s="497" t="str">
        <f>VLOOKUP(C26,'[3]Sales Master'!B$3:E$955,4,0)</f>
        <v>Kara UHT</v>
      </c>
      <c r="J26" s="497"/>
      <c r="K26" s="190">
        <v>48</v>
      </c>
      <c r="L26" s="31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5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546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546</v>
      </c>
      <c r="M32" s="63"/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49.14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595.14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19:F19"/>
    <mergeCell ref="I19:J19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6:F26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</mergeCells>
  <conditionalFormatting sqref="C25">
    <cfRule type="duplicateValues" dxfId="231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45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8164062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</v>
      </c>
      <c r="J10" s="24" t="s">
        <v>27</v>
      </c>
      <c r="K10" s="493">
        <v>202102064</v>
      </c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 xml:space="preserve">Koufu - (Dessert)                                     180, Ang Mo Kio Ave 8. Block A unit 235 Nanyang Polythenic Singapore 569830                                      </v>
      </c>
      <c r="G11" s="481"/>
      <c r="H11" s="482"/>
      <c r="J11" s="26" t="s">
        <v>9</v>
      </c>
      <c r="K11" s="504">
        <v>44230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78"/>
      <c r="C18" s="71" t="s">
        <v>399</v>
      </c>
      <c r="D18" s="498" t="e">
        <f>VLOOKUP(C18,'Sales Master'!B$3:D$530,2,)</f>
        <v>#N/A</v>
      </c>
      <c r="E18" s="498"/>
      <c r="F18" s="498"/>
      <c r="G18" s="71">
        <v>1</v>
      </c>
      <c r="H18" s="56" t="e">
        <f>VLOOKUP(C18,'Sales Master'!$B$3:$F$2413,5,0)</f>
        <v>#N/A</v>
      </c>
      <c r="I18" s="491" t="e">
        <f>VLOOKUP(C18,'Sales Master'!$B$3:$E$2413,4,0)</f>
        <v>#N/A</v>
      </c>
      <c r="J18" s="491"/>
      <c r="K18" s="100" t="e">
        <f>VLOOKUP(C18,'Sales Master'!$B$3:$AX$530,49,0)</f>
        <v>#N/A</v>
      </c>
      <c r="L18" s="101" t="e">
        <f t="shared" ref="L18:L23" si="0">K18*G18</f>
        <v>#N/A</v>
      </c>
    </row>
    <row r="19" spans="2:22" ht="20.149999999999999" customHeight="1" x14ac:dyDescent="0.45">
      <c r="B19" s="78"/>
      <c r="C19" s="71" t="s">
        <v>410</v>
      </c>
      <c r="D19" s="498" t="e">
        <f>VLOOKUP(C19,'Sales Master'!B$3:D$530,2,)</f>
        <v>#N/A</v>
      </c>
      <c r="E19" s="498"/>
      <c r="F19" s="498"/>
      <c r="G19" s="71">
        <v>1</v>
      </c>
      <c r="H19" s="56" t="e">
        <f>VLOOKUP(C19,'Sales Master'!$B$3:$F$2413,5,0)</f>
        <v>#N/A</v>
      </c>
      <c r="I19" s="491" t="e">
        <f>VLOOKUP(C19,'Sales Master'!$B$3:$E$2413,4,0)</f>
        <v>#N/A</v>
      </c>
      <c r="J19" s="491"/>
      <c r="K19" s="100" t="e">
        <f>VLOOKUP(C19,'Sales Master'!$B$3:$AX$530,49,0)</f>
        <v>#N/A</v>
      </c>
      <c r="L19" s="101" t="e">
        <f>K19*G19</f>
        <v>#N/A</v>
      </c>
      <c r="N19" s="93" t="s">
        <v>298</v>
      </c>
      <c r="O19" s="19" t="s">
        <v>235</v>
      </c>
      <c r="R19" s="19">
        <v>1</v>
      </c>
      <c r="S19" s="19" t="s">
        <v>115</v>
      </c>
      <c r="T19" s="19" t="s">
        <v>429</v>
      </c>
      <c r="V19" s="19">
        <v>11</v>
      </c>
    </row>
    <row r="20" spans="2:22" ht="20.149999999999999" customHeight="1" x14ac:dyDescent="0.45">
      <c r="B20" s="29"/>
      <c r="C20" s="71" t="s">
        <v>300</v>
      </c>
      <c r="D20" s="498" t="e">
        <f>VLOOKUP(C20,'Sales Master'!B$3:D$530,2,)</f>
        <v>#N/A</v>
      </c>
      <c r="E20" s="498"/>
      <c r="F20" s="498"/>
      <c r="G20" s="71">
        <v>1</v>
      </c>
      <c r="H20" s="56" t="e">
        <f>VLOOKUP(C20,'Sales Master'!$B$3:$F$2413,5,0)</f>
        <v>#N/A</v>
      </c>
      <c r="I20" s="491" t="e">
        <f>VLOOKUP(C20,'Sales Master'!$B$3:$E$2413,4,0)</f>
        <v>#N/A</v>
      </c>
      <c r="J20" s="491"/>
      <c r="K20" s="100" t="e">
        <f>VLOOKUP(C20,'Sales Master'!$B$3:$AX$530,49,0)</f>
        <v>#N/A</v>
      </c>
      <c r="L20" s="101" t="e">
        <f t="shared" si="0"/>
        <v>#N/A</v>
      </c>
      <c r="N20" s="93" t="s">
        <v>315</v>
      </c>
      <c r="O20" s="19" t="s">
        <v>241</v>
      </c>
      <c r="R20" s="19">
        <v>1</v>
      </c>
      <c r="S20" s="19" t="s">
        <v>413</v>
      </c>
      <c r="T20" s="19" t="s">
        <v>347</v>
      </c>
      <c r="V20" s="19">
        <v>9</v>
      </c>
    </row>
    <row r="21" spans="2:22" ht="20.149999999999999" customHeight="1" x14ac:dyDescent="0.45">
      <c r="B21" s="29"/>
      <c r="C21" s="71" t="s">
        <v>302</v>
      </c>
      <c r="D21" s="498" t="e">
        <f>VLOOKUP(C21,'Sales Master'!B$3:D$530,2,)</f>
        <v>#N/A</v>
      </c>
      <c r="E21" s="498"/>
      <c r="F21" s="498"/>
      <c r="G21" s="71">
        <v>1</v>
      </c>
      <c r="H21" s="56" t="e">
        <f>VLOOKUP(C21,'Sales Master'!$B$3:$F$2413,5,0)</f>
        <v>#N/A</v>
      </c>
      <c r="I21" s="491" t="e">
        <f>VLOOKUP(C21,'Sales Master'!$B$3:$E$2413,4,0)</f>
        <v>#N/A</v>
      </c>
      <c r="J21" s="491"/>
      <c r="K21" s="100" t="e">
        <f>VLOOKUP(C21,'Sales Master'!$B$3:$AX$530,49,0)</f>
        <v>#N/A</v>
      </c>
      <c r="L21" s="101" t="e">
        <f t="shared" si="0"/>
        <v>#N/A</v>
      </c>
      <c r="N21" s="93" t="s">
        <v>328</v>
      </c>
      <c r="O21" s="19" t="s">
        <v>242</v>
      </c>
      <c r="R21" s="19">
        <v>5</v>
      </c>
      <c r="S21" s="19" t="s">
        <v>34</v>
      </c>
      <c r="T21" s="19" t="s">
        <v>425</v>
      </c>
      <c r="V21" s="19">
        <v>0.7</v>
      </c>
    </row>
    <row r="22" spans="2:22" ht="20.149999999999999" customHeight="1" x14ac:dyDescent="0.45">
      <c r="B22" s="29"/>
      <c r="C22" s="71" t="s">
        <v>305</v>
      </c>
      <c r="D22" s="498" t="e">
        <f>VLOOKUP(C22,'Sales Master'!B$3:D$530,2,)</f>
        <v>#N/A</v>
      </c>
      <c r="E22" s="498"/>
      <c r="F22" s="498"/>
      <c r="G22" s="71">
        <v>1</v>
      </c>
      <c r="H22" s="56" t="e">
        <f>VLOOKUP(C22,'Sales Master'!$B$3:$F$2413,5,0)</f>
        <v>#N/A</v>
      </c>
      <c r="I22" s="491" t="e">
        <f>VLOOKUP(C22,'Sales Master'!$B$3:$E$2413,4,0)</f>
        <v>#N/A</v>
      </c>
      <c r="J22" s="491"/>
      <c r="K22" s="100" t="e">
        <f>VLOOKUP(C22,'Sales Master'!$B$3:$AX$530,49,0)</f>
        <v>#N/A</v>
      </c>
      <c r="L22" s="101" t="e">
        <f t="shared" si="0"/>
        <v>#N/A</v>
      </c>
      <c r="N22" s="93" t="s">
        <v>319</v>
      </c>
      <c r="O22" s="19" t="s">
        <v>400</v>
      </c>
      <c r="R22" s="19">
        <v>1</v>
      </c>
      <c r="S22" s="19" t="s">
        <v>401</v>
      </c>
      <c r="T22" s="19" t="s">
        <v>452</v>
      </c>
      <c r="V22" s="19">
        <v>34</v>
      </c>
    </row>
    <row r="23" spans="2:22" ht="20.149999999999999" customHeight="1" x14ac:dyDescent="0.45">
      <c r="B23" s="29"/>
      <c r="C23" s="71" t="s">
        <v>307</v>
      </c>
      <c r="D23" s="498" t="e">
        <f>VLOOKUP(C23,'Sales Master'!B$3:D$530,2,)</f>
        <v>#N/A</v>
      </c>
      <c r="E23" s="498"/>
      <c r="F23" s="498"/>
      <c r="G23" s="71">
        <v>1</v>
      </c>
      <c r="H23" s="56" t="e">
        <f>VLOOKUP(C23,'Sales Master'!$B$3:$F$2413,5,0)</f>
        <v>#N/A</v>
      </c>
      <c r="I23" s="491" t="e">
        <f>VLOOKUP(C23,'Sales Master'!$B$3:$E$2413,4,0)</f>
        <v>#N/A</v>
      </c>
      <c r="J23" s="491"/>
      <c r="K23" s="100" t="e">
        <f>VLOOKUP(C23,'Sales Master'!$B$3:$AX$530,49,0)</f>
        <v>#N/A</v>
      </c>
      <c r="L23" s="101" t="e">
        <f t="shared" si="0"/>
        <v>#N/A</v>
      </c>
    </row>
    <row r="24" spans="2:22" ht="20.149999999999999" customHeight="1" x14ac:dyDescent="0.45">
      <c r="B24" s="29"/>
      <c r="C24" s="71" t="s">
        <v>412</v>
      </c>
      <c r="D24" s="498" t="e">
        <f>VLOOKUP(C24,'Sales Master'!B$3:D$530,2,)</f>
        <v>#N/A</v>
      </c>
      <c r="E24" s="498"/>
      <c r="F24" s="498"/>
      <c r="G24" s="71">
        <v>1</v>
      </c>
      <c r="H24" s="56" t="e">
        <f>VLOOKUP(C24,'Sales Master'!$B$3:$F$2413,5,0)</f>
        <v>#N/A</v>
      </c>
      <c r="I24" s="491" t="e">
        <f>VLOOKUP(C24,'Sales Master'!$B$3:$E$2413,4,0)</f>
        <v>#N/A</v>
      </c>
      <c r="J24" s="491"/>
      <c r="K24" s="100" t="e">
        <f>VLOOKUP(C24,'Sales Master'!$B$3:$AX$530,49,0)</f>
        <v>#N/A</v>
      </c>
      <c r="L24" s="101" t="e">
        <f>K24*G24</f>
        <v>#N/A</v>
      </c>
    </row>
    <row r="25" spans="2:22" ht="20.149999999999999" customHeight="1" x14ac:dyDescent="0.45">
      <c r="B25" s="29"/>
      <c r="C25" s="71" t="s">
        <v>482</v>
      </c>
      <c r="D25" s="498" t="e">
        <f>VLOOKUP(C25,'Sales Master'!B$3:D$530,2,)</f>
        <v>#N/A</v>
      </c>
      <c r="E25" s="498"/>
      <c r="F25" s="498"/>
      <c r="G25" s="71">
        <v>1</v>
      </c>
      <c r="H25" s="56" t="e">
        <f>VLOOKUP(C25,'Sales Master'!$B$3:$F$2413,5,0)</f>
        <v>#N/A</v>
      </c>
      <c r="I25" s="491" t="e">
        <f>VLOOKUP(C25,'Sales Master'!$B$3:$E$2413,4,0)</f>
        <v>#N/A</v>
      </c>
      <c r="J25" s="491"/>
      <c r="K25" s="100" t="e">
        <f>VLOOKUP(C25,'Sales Master'!$B$3:$AX$530,49,0)</f>
        <v>#N/A</v>
      </c>
      <c r="L25" s="101" t="e">
        <f>K25*G25</f>
        <v>#N/A</v>
      </c>
    </row>
    <row r="26" spans="2:22" ht="20.149999999999999" customHeight="1" x14ac:dyDescent="0.45">
      <c r="B26" s="29"/>
      <c r="C26" s="71" t="s">
        <v>314</v>
      </c>
      <c r="D26" s="498" t="e">
        <f>VLOOKUP(C26,'Sales Master'!B$3:D$530,2,)</f>
        <v>#N/A</v>
      </c>
      <c r="E26" s="498"/>
      <c r="F26" s="498"/>
      <c r="G26" s="71">
        <v>1</v>
      </c>
      <c r="H26" s="56" t="e">
        <f>VLOOKUP(C26,'Sales Master'!$B$3:$F$2413,5,0)</f>
        <v>#N/A</v>
      </c>
      <c r="I26" s="491" t="e">
        <f>VLOOKUP(C26,'Sales Master'!$B$3:$E$2413,4,0)</f>
        <v>#N/A</v>
      </c>
      <c r="J26" s="491"/>
      <c r="K26" s="100" t="e">
        <f>VLOOKUP(C26,'Sales Master'!$B$3:$AX$530,49,0)</f>
        <v>#N/A</v>
      </c>
      <c r="L26" s="101" t="e">
        <f>K26*G26</f>
        <v>#N/A</v>
      </c>
    </row>
    <row r="27" spans="2:22" ht="20.149999999999999" customHeight="1" x14ac:dyDescent="0.45">
      <c r="B27" s="29"/>
      <c r="C27" s="71"/>
      <c r="D27" s="498"/>
      <c r="E27" s="498"/>
      <c r="F27" s="498"/>
      <c r="G27" s="71"/>
      <c r="H27" s="56"/>
      <c r="I27" s="491"/>
      <c r="J27" s="491"/>
      <c r="K27" s="100"/>
      <c r="L27" s="101"/>
    </row>
    <row r="28" spans="2:22" ht="20.149999999999999" customHeight="1" x14ac:dyDescent="0.45">
      <c r="B28" s="29"/>
      <c r="C28" s="71"/>
      <c r="D28" s="498"/>
      <c r="E28" s="498"/>
      <c r="F28" s="498"/>
      <c r="G28" s="71"/>
      <c r="H28" s="56"/>
      <c r="I28" s="491"/>
      <c r="J28" s="491"/>
      <c r="K28" s="100"/>
      <c r="L28" s="101"/>
    </row>
    <row r="29" spans="2:22" ht="20.149999999999999" customHeight="1" x14ac:dyDescent="0.45">
      <c r="B29" s="29"/>
      <c r="C29" s="17"/>
      <c r="D29" s="498"/>
      <c r="E29" s="498"/>
      <c r="F29" s="498"/>
      <c r="G29" s="17"/>
      <c r="H29" s="71"/>
      <c r="I29" s="523"/>
      <c r="J29" s="523"/>
      <c r="K29" s="100"/>
      <c r="L29" s="101"/>
    </row>
    <row r="30" spans="2:22" ht="20.149999999999999" customHeight="1" x14ac:dyDescent="0.45">
      <c r="B30" s="29"/>
      <c r="C30" s="71"/>
      <c r="D30" s="498"/>
      <c r="E30" s="498"/>
      <c r="F30" s="498"/>
      <c r="G30" s="71"/>
      <c r="H30" s="71"/>
      <c r="I30" s="523"/>
      <c r="J30" s="523"/>
      <c r="K30" s="100"/>
      <c r="L30" s="101"/>
    </row>
    <row r="31" spans="2:22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2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 t="e">
        <f>SUM(L17:L30)</f>
        <v>#N/A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 t="e">
        <f>L33*K34</f>
        <v>#N/A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 t="e">
        <f>L33-L34</f>
        <v>#N/A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 t="e">
        <f>L35*K36</f>
        <v>#N/A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 t="e">
        <f>L35+L36</f>
        <v>#N/A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5:D15"/>
    <mergeCell ref="D23:F23"/>
    <mergeCell ref="D31:F31"/>
    <mergeCell ref="J33:K33"/>
    <mergeCell ref="J35:K35"/>
    <mergeCell ref="D30:F30"/>
    <mergeCell ref="J37:K37"/>
    <mergeCell ref="I25:J25"/>
    <mergeCell ref="I26:J26"/>
    <mergeCell ref="I28:J28"/>
    <mergeCell ref="I27:J27"/>
    <mergeCell ref="I30:J30"/>
    <mergeCell ref="I29:J29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7D4D-D1DB-49B8-9DFE-22633C4A51D2}">
  <sheetPr codeName="Sheet56">
    <tabColor rgb="FFFFC000"/>
    <pageSetUpPr fitToPage="1"/>
  </sheetPr>
  <dimension ref="A1:R49"/>
  <sheetViews>
    <sheetView topLeftCell="A21" zoomScaleNormal="100" workbookViewId="0">
      <selection activeCell="K12" sqref="K12:L12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142</v>
      </c>
      <c r="J10" s="24" t="s">
        <v>27</v>
      </c>
      <c r="K10" s="493">
        <v>202501140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Combined Stalls                                               Junction 8. 9 Bishan Place                               #04-01. Junction 8 Shopping Centre. Singapore 579837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4500320174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3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19.5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12.180000000000001</v>
      </c>
      <c r="Q18" s="63"/>
      <c r="R18" s="63">
        <f>N18*G18*0.07</f>
        <v>0.51240000000000008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Master'!A$3:B$530,2,0)</f>
        <v>P3001B</v>
      </c>
      <c r="D19" s="461" t="str">
        <f>VLOOKUP(C19,'Sales Master'!B$3:D$530,2,)</f>
        <v>Atap Seeds in Syrup 亚嗒子</v>
      </c>
      <c r="E19" s="461"/>
      <c r="F19" s="461"/>
      <c r="G19" s="76">
        <v>2</v>
      </c>
      <c r="H19" s="247" t="str">
        <f>VLOOKUP(C19,'Sales Master'!$B$3:$F$2413,5,0)</f>
        <v>NW(1.6:0.6) 2.2kg/ Bag包</v>
      </c>
      <c r="I19" s="462" t="str">
        <f>VLOOKUP(C19,'Sales Master'!$B$3:$E$2413,4,0)</f>
        <v>DO!</v>
      </c>
      <c r="J19" s="462"/>
      <c r="K19" s="83">
        <f>VLOOKUP(C19,'Sales Master'!B$3:I$530,8,0)</f>
        <v>10</v>
      </c>
      <c r="L19" s="84">
        <f>K19*G19</f>
        <v>20</v>
      </c>
      <c r="N19" s="145">
        <f>VLOOKUP(C19,'Sales Master'!$B$3:$DA$2272,104,0)</f>
        <v>7.3</v>
      </c>
      <c r="O19" s="145">
        <f>K19-N19</f>
        <v>2.7</v>
      </c>
      <c r="P19" s="145">
        <f>O19*G19</f>
        <v>5.4</v>
      </c>
      <c r="Q19" s="63"/>
      <c r="R19" s="63"/>
    </row>
    <row r="20" spans="1:18" ht="20.149999999999999" customHeight="1" x14ac:dyDescent="0.45">
      <c r="A20" s="65"/>
      <c r="B20" s="58">
        <v>520738</v>
      </c>
      <c r="C20" s="212" t="str">
        <f>VLOOKUP(B20,'Sales Master'!A$3:B$530,2,0)</f>
        <v>P3005A</v>
      </c>
      <c r="D20" s="461" t="str">
        <f>VLOOKUP(C20,'Sales Master'!B$3:D$530,2,)</f>
        <v>Red Bean 红豆 (5.5 mm)</v>
      </c>
      <c r="E20" s="461"/>
      <c r="F20" s="461"/>
      <c r="G20" s="76">
        <v>1</v>
      </c>
      <c r="H20" s="247" t="str">
        <f>VLOOKUP(C20,'Sales Master'!$B$3:$F$2413,5,0)</f>
        <v>5 KG</v>
      </c>
      <c r="I20" s="462" t="str">
        <f>VLOOKUP(C20,'Sales Master'!$B$3:$E$2413,4,0)</f>
        <v>-</v>
      </c>
      <c r="J20" s="462"/>
      <c r="K20" s="83">
        <f>VLOOKUP(C20,'Sales Master'!B$3:I$530,8,0)</f>
        <v>17.5</v>
      </c>
      <c r="L20" s="84">
        <f>K20*G20</f>
        <v>17.5</v>
      </c>
      <c r="N20" s="145">
        <f>VLOOKUP(C20,'Sales Master'!$B$3:$DA$2272,104,0)</f>
        <v>12.5</v>
      </c>
      <c r="O20" s="145">
        <f>K20-N20</f>
        <v>5</v>
      </c>
      <c r="P20" s="145">
        <f>O20*G20</f>
        <v>5</v>
      </c>
      <c r="Q20" s="63"/>
      <c r="R20" s="63"/>
    </row>
    <row r="21" spans="1:18" ht="20.149999999999999" customHeight="1" x14ac:dyDescent="0.45">
      <c r="A21" s="65"/>
      <c r="B21" s="58">
        <v>520724</v>
      </c>
      <c r="C21" s="212" t="str">
        <f>VLOOKUP(B21,'Sales Master'!A$3:B$530,2,0)</f>
        <v>P3009A</v>
      </c>
      <c r="D21" s="461" t="str">
        <f>VLOOKUP(C21,'Sales Master'!B$3:D$530,2,)</f>
        <v>Green Bean 绿豆</v>
      </c>
      <c r="E21" s="461"/>
      <c r="F21" s="461"/>
      <c r="G21" s="76">
        <v>1</v>
      </c>
      <c r="H21" s="247" t="str">
        <f>VLOOKUP(C21,'Sales Master'!$B$3:$F$2413,5,0)</f>
        <v>5 KG</v>
      </c>
      <c r="I21" s="462" t="str">
        <f>VLOOKUP(C21,'Sales Master'!$B$3:$E$2413,4,0)</f>
        <v>-</v>
      </c>
      <c r="J21" s="462"/>
      <c r="K21" s="83">
        <f>VLOOKUP(C21,'Sales Master'!B$3:I$530,8,0)</f>
        <v>13</v>
      </c>
      <c r="L21" s="84">
        <f>K21*G21</f>
        <v>13</v>
      </c>
      <c r="N21" s="145">
        <f>VLOOKUP(C21,'Sales Master'!$B$3:$DA$2272,104,0)</f>
        <v>8.75</v>
      </c>
      <c r="O21" s="145">
        <f>K21-N21</f>
        <v>4.25</v>
      </c>
      <c r="P21" s="145">
        <f>O21*G21</f>
        <v>4.25</v>
      </c>
      <c r="Q21" s="63"/>
      <c r="R21" s="63"/>
    </row>
    <row r="22" spans="1:18" ht="20.149999999999999" customHeight="1" x14ac:dyDescent="0.45">
      <c r="A22" s="65"/>
      <c r="B22" s="58">
        <v>520787</v>
      </c>
      <c r="C22" s="212" t="str">
        <f>VLOOKUP(B22,'Sales Master'!A$3:B$530,2,0)</f>
        <v>P3014A</v>
      </c>
      <c r="D22" s="461" t="str">
        <f>VLOOKUP(C22,'Sales Master'!B$3:D$530,2,)</f>
        <v>White Glutinous Rice 白糯米</v>
      </c>
      <c r="E22" s="461"/>
      <c r="F22" s="461"/>
      <c r="G22" s="76">
        <v>1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11</v>
      </c>
      <c r="L22" s="84">
        <f t="shared" ref="L22" si="3">K22*G22</f>
        <v>11</v>
      </c>
      <c r="N22" s="145">
        <f>VLOOKUP(C22,'Sales Master'!$B$3:$DA$2272,104,0)</f>
        <v>6</v>
      </c>
      <c r="O22" s="145">
        <f t="shared" ref="O22" si="4">K22-N22</f>
        <v>5</v>
      </c>
      <c r="P22" s="145">
        <f t="shared" ref="P22" si="5">O22*G22</f>
        <v>5</v>
      </c>
      <c r="Q22" s="63"/>
      <c r="R22" s="63"/>
    </row>
    <row r="23" spans="1:18" ht="20.149999999999999" customHeight="1" x14ac:dyDescent="0.45">
      <c r="A23" s="65"/>
      <c r="B23" s="58">
        <v>520744</v>
      </c>
      <c r="C23" s="212" t="str">
        <f>VLOOKUP(B23,'Sales Master'!A$3:B$530,2,0)</f>
        <v>P3018A</v>
      </c>
      <c r="D23" s="461" t="str">
        <f>VLOOKUP(C23,'Sales Master'!B$3:D$530,2,)</f>
        <v>Small Sago 小丸</v>
      </c>
      <c r="E23" s="461"/>
      <c r="F23" s="461"/>
      <c r="G23" s="76">
        <v>1</v>
      </c>
      <c r="H23" s="247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10</v>
      </c>
      <c r="L23" s="84">
        <f>K23*G23</f>
        <v>10</v>
      </c>
      <c r="N23" s="145">
        <f>VLOOKUP(C23,'Sales Master'!$B$3:$DA$2272,104,0)</f>
        <v>0.70833333333333326</v>
      </c>
      <c r="O23" s="145">
        <f>K23-N23</f>
        <v>9.2916666666666661</v>
      </c>
      <c r="P23" s="145">
        <f>O23*G23</f>
        <v>9.2916666666666661</v>
      </c>
      <c r="Q23" s="63"/>
      <c r="R23" s="63"/>
    </row>
    <row r="24" spans="1:18" ht="20.149999999999999" customHeight="1" x14ac:dyDescent="0.45">
      <c r="A24" s="65"/>
      <c r="B24" s="58">
        <v>520728</v>
      </c>
      <c r="C24" s="212" t="str">
        <f>VLOOKUP(B24,'Sales Master'!A$3:B$530,2,0)</f>
        <v>P4010</v>
      </c>
      <c r="D24" s="461" t="str">
        <f>VLOOKUP(C24,'Sales Master'!B$3:D$530,2,)</f>
        <v>Lychee in Syrup 荔枝</v>
      </c>
      <c r="E24" s="461"/>
      <c r="F24" s="461"/>
      <c r="G24" s="76">
        <v>1</v>
      </c>
      <c r="H24" s="247" t="str">
        <f>VLOOKUP(C24,'Sales Master'!$B$3:$F$2413,5,0)</f>
        <v>12can/箱</v>
      </c>
      <c r="I24" s="462" t="str">
        <f>VLOOKUP(C24,'Sales Master'!$B$3:$E$2413,4,0)</f>
        <v>MiLi</v>
      </c>
      <c r="J24" s="462"/>
      <c r="K24" s="83">
        <f>VLOOKUP(C24,'Sales Master'!B$3:I$530,8,0)</f>
        <v>24</v>
      </c>
      <c r="L24" s="84">
        <f>K24*G24</f>
        <v>24</v>
      </c>
      <c r="N24" s="145">
        <f>VLOOKUP(C24,'Sales Master'!$B$3:$DA$2272,104,0)</f>
        <v>20</v>
      </c>
      <c r="O24" s="145">
        <f>K24-N24</f>
        <v>4</v>
      </c>
      <c r="P24" s="145">
        <f>O24*G24</f>
        <v>4</v>
      </c>
      <c r="Q24" s="63"/>
      <c r="R24" s="63"/>
    </row>
    <row r="25" spans="1:18" ht="20.149999999999999" customHeight="1" x14ac:dyDescent="0.45">
      <c r="A25" s="65"/>
      <c r="B25" s="58">
        <v>520700</v>
      </c>
      <c r="C25" s="212" t="str">
        <f>VLOOKUP(B25,'Sales Master'!A$3:B$530,2,0)</f>
        <v>P5002A</v>
      </c>
      <c r="D25" s="461" t="str">
        <f>VLOOKUP(C25,'Sales Master'!B$3:D$530,2,)</f>
        <v>Brown Sugar 黑糖</v>
      </c>
      <c r="E25" s="461"/>
      <c r="F25" s="461"/>
      <c r="G25" s="76">
        <v>1</v>
      </c>
      <c r="H25" s="247" t="str">
        <f>VLOOKUP(C25,'Sales Master'!$B$3:$F$2413,5,0)</f>
        <v>6 KG</v>
      </c>
      <c r="I25" s="462" t="str">
        <f>VLOOKUP(C25,'Sales Master'!$B$3:$E$2413,4,0)</f>
        <v>Star</v>
      </c>
      <c r="J25" s="462"/>
      <c r="K25" s="83">
        <f>VLOOKUP(C25,'Sales Master'!B$3:I$530,8,0)</f>
        <v>15.5</v>
      </c>
      <c r="L25" s="84">
        <f>K25*G25</f>
        <v>15.5</v>
      </c>
      <c r="N25" s="145">
        <f>VLOOKUP(C25,'Sales Master'!$B$3:$DA$2272,104,0)</f>
        <v>12.5</v>
      </c>
      <c r="O25" s="145">
        <f>K25-N25</f>
        <v>3</v>
      </c>
      <c r="P25" s="145">
        <f>O25*G25</f>
        <v>3</v>
      </c>
      <c r="Q25" s="63"/>
      <c r="R25" s="63"/>
    </row>
    <row r="26" spans="1:18" ht="20.149999999999999" customHeight="1" x14ac:dyDescent="0.45">
      <c r="A26" s="65"/>
      <c r="B26" s="58">
        <v>520706</v>
      </c>
      <c r="C26" s="212" t="str">
        <f>VLOOKUP(B26,'Sales Master'!A$3:B$530,2,0)</f>
        <v>P5008</v>
      </c>
      <c r="D26" s="461" t="str">
        <f>VLOOKUP(C26,'Sales Master'!B$3:D$530,2,)</f>
        <v>Coconut Sugar 椰糖</v>
      </c>
      <c r="E26" s="461"/>
      <c r="F26" s="461"/>
      <c r="G26" s="76">
        <v>1</v>
      </c>
      <c r="H26" s="247" t="str">
        <f>VLOOKUP(C26,'Sales Master'!$B$3:$F$2413,5,0)</f>
        <v>10 KG/ ctn</v>
      </c>
      <c r="I26" s="462" t="str">
        <f>VLOOKUP(C26,'Sales Master'!$B$3:$E$2413,4,0)</f>
        <v>BL BRAND</v>
      </c>
      <c r="J26" s="462"/>
      <c r="K26" s="83">
        <f>VLOOKUP(C26,'Sales Master'!B$3:I$530,8,0)</f>
        <v>35</v>
      </c>
      <c r="L26" s="84">
        <f t="shared" ref="L26" si="6">K26*G26</f>
        <v>35</v>
      </c>
      <c r="N26" s="145">
        <f>VLOOKUP(C26,'Sales Master'!$B$3:$DA$2272,104,0)</f>
        <v>28</v>
      </c>
      <c r="O26" s="145">
        <f t="shared" ref="O26" si="7">K26-N26</f>
        <v>7</v>
      </c>
      <c r="P26" s="145">
        <f t="shared" ref="P26" si="8">O26*G26</f>
        <v>7</v>
      </c>
      <c r="Q26" s="63"/>
      <c r="R26" s="63"/>
    </row>
    <row r="27" spans="1:18" ht="20.149999999999999" customHeight="1" x14ac:dyDescent="0.45">
      <c r="A27" s="65"/>
      <c r="B27" s="58">
        <v>520733</v>
      </c>
      <c r="C27" s="212" t="str">
        <f>VLOOKUP(B27,'Sales Master'!A$3:B$530,2,0)</f>
        <v>P6002A</v>
      </c>
      <c r="D27" s="461" t="str">
        <f>VLOOKUP(C27,'Sales Master'!B$3:D$530,2,)</f>
        <v>Skinless Sweet Potato 去皮番薯</v>
      </c>
      <c r="E27" s="461"/>
      <c r="F27" s="461"/>
      <c r="G27" s="76">
        <v>3</v>
      </c>
      <c r="H27" s="247" t="str">
        <f>VLOOKUP(C27,'Sales Master'!$B$3:$F$2413,5,0)</f>
        <v>5 KG</v>
      </c>
      <c r="I27" s="462" t="str">
        <f>VLOOKUP(C27,'Sales Master'!$B$3:$E$2413,4,0)</f>
        <v>Malaysia</v>
      </c>
      <c r="J27" s="462"/>
      <c r="K27" s="83">
        <f>VLOOKUP(C27,'Sales Master'!B$3:I$530,8,0)</f>
        <v>16.5</v>
      </c>
      <c r="L27" s="84">
        <f t="shared" ref="L27" si="9">K27*G27</f>
        <v>49.5</v>
      </c>
      <c r="N27" s="145">
        <f>VLOOKUP(C27,'Sales Master'!$B$3:$DA$2272,104,0)</f>
        <v>9</v>
      </c>
      <c r="O27" s="145">
        <f t="shared" ref="O27" si="10">K27-N27</f>
        <v>7.5</v>
      </c>
      <c r="P27" s="145">
        <f t="shared" ref="P27" si="11">O27*G27</f>
        <v>22.5</v>
      </c>
      <c r="Q27" s="63"/>
      <c r="R27" s="63"/>
    </row>
    <row r="28" spans="1:18" ht="20.149999999999999" customHeight="1" x14ac:dyDescent="0.45">
      <c r="A28" s="65"/>
      <c r="B28" s="58">
        <v>520792</v>
      </c>
      <c r="C28" s="212" t="str">
        <f>VLOOKUP(B28,'Sales Master'!A$3:B$530,2,0)</f>
        <v>P6014</v>
      </c>
      <c r="D28" s="461" t="str">
        <f>VLOOKUP(C28,'Sales Master'!B$3:D$530,2,)</f>
        <v>Yu Tiao 油条</v>
      </c>
      <c r="E28" s="461"/>
      <c r="F28" s="461"/>
      <c r="G28" s="76">
        <v>3</v>
      </c>
      <c r="H28" s="247" t="str">
        <f>VLOOKUP(C28,'Sales Master'!$B$3:$F$2413,5,0)</f>
        <v>10 PCS/PKT</v>
      </c>
      <c r="I28" s="462" t="str">
        <f>VLOOKUP(C28,'Sales Master'!$B$3:$E$2413,4,0)</f>
        <v>-</v>
      </c>
      <c r="J28" s="462"/>
      <c r="K28" s="83">
        <f>VLOOKUP(C28,'Sales Master'!B$3:I$530,8,0)</f>
        <v>5.5</v>
      </c>
      <c r="L28" s="84">
        <f>K28*G28</f>
        <v>16.5</v>
      </c>
      <c r="N28" s="145">
        <f>VLOOKUP(C28,'Sales Master'!$B$3:$DA$2272,104,0)</f>
        <v>0.45</v>
      </c>
      <c r="O28" s="145">
        <f>K28-N28</f>
        <v>5.05</v>
      </c>
      <c r="P28" s="145">
        <f>O28*G28</f>
        <v>15.149999999999999</v>
      </c>
      <c r="Q28" s="63"/>
      <c r="R28" s="63"/>
    </row>
    <row r="29" spans="1:18" ht="20.149999999999999" customHeight="1" x14ac:dyDescent="0.45">
      <c r="A29" s="65"/>
      <c r="B29" s="58">
        <v>520740</v>
      </c>
      <c r="C29" s="212" t="str">
        <f>VLOOKUP(B29,'Sales Master'!A$3:B$530,2,0)</f>
        <v>M1037A</v>
      </c>
      <c r="D29" s="461" t="str">
        <f>VLOOKUP(C29,'Sales Master'!B$3:D$530,2,)</f>
        <v>Rock Sugar Syrup 冰糖浆</v>
      </c>
      <c r="E29" s="461"/>
      <c r="F29" s="461"/>
      <c r="G29" s="76">
        <v>6</v>
      </c>
      <c r="H29" s="247" t="str">
        <f>VLOOKUP(C29,'Sales Master'!$B$3:$F$2413,5,0)</f>
        <v>5 KG</v>
      </c>
      <c r="I29" s="462" t="str">
        <f>VLOOKUP(C29,'Sales Master'!$B$3:$E$2413,4,0)</f>
        <v>DO!</v>
      </c>
      <c r="J29" s="462"/>
      <c r="K29" s="83">
        <f>VLOOKUP(C29,'Sales Master'!B$3:I$530,8,0)</f>
        <v>10.5</v>
      </c>
      <c r="L29" s="84">
        <f>K29*G29</f>
        <v>63</v>
      </c>
      <c r="N29" s="145">
        <f>VLOOKUP(C29,'Sales Master'!$B$3:$DA$2272,104,0)</f>
        <v>5.86</v>
      </c>
      <c r="O29" s="145">
        <f>K29-N29</f>
        <v>4.6399999999999997</v>
      </c>
      <c r="P29" s="145">
        <f>O29*G29</f>
        <v>27.839999999999996</v>
      </c>
      <c r="Q29" s="63"/>
      <c r="R29" s="63"/>
    </row>
    <row r="30" spans="1:18" ht="20.149999999999999" customHeight="1" x14ac:dyDescent="0.45">
      <c r="A30" s="65"/>
      <c r="B30" s="242"/>
      <c r="C30" s="212"/>
      <c r="D30" s="461"/>
      <c r="E30" s="461"/>
      <c r="F30" s="461"/>
      <c r="G30" s="76"/>
      <c r="H30" s="247"/>
      <c r="I30" s="462"/>
      <c r="J30" s="462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61"/>
      <c r="E31" s="461"/>
      <c r="F31" s="461"/>
      <c r="G31" s="76"/>
      <c r="H31" s="247"/>
      <c r="I31" s="462"/>
      <c r="J31" s="462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G32" s="76"/>
      <c r="H32" s="247"/>
      <c r="I32" s="209"/>
      <c r="J32" s="209"/>
      <c r="K32" s="83"/>
      <c r="L32" s="84"/>
      <c r="N32" s="145"/>
      <c r="O32" s="145"/>
      <c r="P32" s="145"/>
      <c r="Q32" s="63"/>
      <c r="R32" s="63"/>
    </row>
    <row r="33" spans="1:17" ht="20.149999999999999" customHeight="1" x14ac:dyDescent="0.45">
      <c r="A33" s="65"/>
      <c r="B33" s="139"/>
      <c r="C33" s="129"/>
      <c r="D33" s="140"/>
      <c r="E33" s="140"/>
      <c r="F33" s="140"/>
      <c r="G33" s="129"/>
      <c r="H33" s="138"/>
      <c r="I33" s="514"/>
      <c r="J33" s="514"/>
      <c r="K33" s="95"/>
      <c r="L33" s="98"/>
      <c r="M33" s="63"/>
      <c r="N33" s="63"/>
      <c r="Q33" s="63"/>
    </row>
    <row r="34" spans="1:17" ht="20.149999999999999" customHeight="1" thickBot="1" x14ac:dyDescent="0.5">
      <c r="A34" s="65"/>
      <c r="B34" s="141"/>
      <c r="C34" s="76"/>
      <c r="D34" s="65"/>
      <c r="E34" s="65"/>
      <c r="F34" s="65"/>
      <c r="G34" s="76"/>
      <c r="H34" s="82"/>
      <c r="I34" s="76"/>
      <c r="J34" s="76"/>
      <c r="K34" s="83"/>
      <c r="L34" s="84"/>
    </row>
    <row r="35" spans="1:17" ht="20.149999999999999" customHeight="1" x14ac:dyDescent="0.45">
      <c r="A35" s="65"/>
      <c r="B35" s="142" t="s">
        <v>16</v>
      </c>
      <c r="C35" s="135"/>
      <c r="D35" s="135"/>
      <c r="E35" s="135"/>
      <c r="F35" s="135"/>
      <c r="G35" s="135"/>
      <c r="H35" s="135"/>
      <c r="I35" s="135"/>
      <c r="J35" s="512" t="s">
        <v>13</v>
      </c>
      <c r="K35" s="513"/>
      <c r="L35" s="143">
        <f>SUM(L18:L34)</f>
        <v>294.5</v>
      </c>
      <c r="M35" s="63">
        <f>SUM(P18:P34)</f>
        <v>120.61166666666668</v>
      </c>
      <c r="N35" s="133">
        <f>M35/L35</f>
        <v>0.40954725523486141</v>
      </c>
      <c r="Q35" s="133"/>
    </row>
    <row r="36" spans="1:17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  <c r="M36" s="63"/>
    </row>
    <row r="37" spans="1:17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294.5</v>
      </c>
    </row>
    <row r="38" spans="1:17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26.504999999999999</v>
      </c>
    </row>
    <row r="39" spans="1:17" ht="20.149999999999999" customHeight="1" thickBot="1" x14ac:dyDescent="0.5">
      <c r="B39" s="10" t="s">
        <v>700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321.005</v>
      </c>
    </row>
    <row r="40" spans="1:17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1:17" ht="18" customHeight="1" x14ac:dyDescent="0.45">
      <c r="B41" s="144" t="s">
        <v>690</v>
      </c>
      <c r="L41" s="37"/>
    </row>
    <row r="42" spans="1:17" ht="18" customHeight="1" x14ac:dyDescent="0.45">
      <c r="B42" s="36"/>
      <c r="L42" s="37"/>
      <c r="N42" s="176">
        <v>44641</v>
      </c>
      <c r="O42" s="19">
        <v>287.5</v>
      </c>
      <c r="P42" s="19">
        <v>54.36</v>
      </c>
      <c r="Q42" s="133">
        <f>P42/O42</f>
        <v>0.18907826086956522</v>
      </c>
    </row>
    <row r="43" spans="1:17" ht="18" customHeight="1" x14ac:dyDescent="0.45">
      <c r="B43" s="36"/>
      <c r="L43" s="37"/>
      <c r="N43" s="176"/>
      <c r="Q43" s="133"/>
    </row>
    <row r="44" spans="1:17" ht="18" customHeight="1" x14ac:dyDescent="0.45">
      <c r="B44" s="36"/>
      <c r="L44" s="37"/>
      <c r="N44" s="176"/>
      <c r="Q44" s="133"/>
    </row>
    <row r="45" spans="1:17" ht="18" customHeight="1" x14ac:dyDescent="0.45">
      <c r="B45" s="36"/>
      <c r="L45" s="37"/>
      <c r="N45" s="176"/>
      <c r="Q45" s="133"/>
    </row>
    <row r="46" spans="1:17" ht="18" customHeight="1" x14ac:dyDescent="0.45">
      <c r="B46" s="44"/>
      <c r="C46" s="45"/>
      <c r="D46" s="45"/>
      <c r="J46" s="45"/>
      <c r="K46" s="45"/>
      <c r="L46" s="46"/>
    </row>
    <row r="47" spans="1:17" ht="20.149999999999999" customHeight="1" x14ac:dyDescent="0.45">
      <c r="B47" s="36" t="s">
        <v>25</v>
      </c>
      <c r="J47" s="19" t="s">
        <v>26</v>
      </c>
      <c r="L47" s="37"/>
    </row>
    <row r="48" spans="1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1"/>
    </row>
  </sheetData>
  <mergeCells count="47"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9:K39"/>
    <mergeCell ref="I33:J33"/>
    <mergeCell ref="J35:K35"/>
    <mergeCell ref="J37:K37"/>
    <mergeCell ref="I23:J23"/>
    <mergeCell ref="I26:J26"/>
    <mergeCell ref="I30:J30"/>
    <mergeCell ref="I28:J28"/>
    <mergeCell ref="I31:J31"/>
    <mergeCell ref="I29:J29"/>
    <mergeCell ref="D20:F20"/>
    <mergeCell ref="I27:J27"/>
    <mergeCell ref="I20:J20"/>
    <mergeCell ref="D28:F28"/>
    <mergeCell ref="D18:F18"/>
    <mergeCell ref="I18:J18"/>
    <mergeCell ref="D25:F25"/>
    <mergeCell ref="D19:F19"/>
    <mergeCell ref="D24:F24"/>
    <mergeCell ref="I24:J24"/>
    <mergeCell ref="I19:J19"/>
    <mergeCell ref="I25:J25"/>
    <mergeCell ref="D21:F21"/>
    <mergeCell ref="I21:J21"/>
    <mergeCell ref="D23:F23"/>
    <mergeCell ref="I22:J22"/>
    <mergeCell ref="D31:F31"/>
    <mergeCell ref="D27:F27"/>
    <mergeCell ref="D22:F22"/>
    <mergeCell ref="D29:F29"/>
    <mergeCell ref="D30:F30"/>
    <mergeCell ref="D26:F26"/>
  </mergeCells>
  <hyperlinks>
    <hyperlink ref="B15" r:id="rId1" xr:uid="{AD416E53-ADDC-4DD7-8CEC-386FE917527F}"/>
  </hyperlinks>
  <pageMargins left="0.74803149606299213" right="0" top="0" bottom="0" header="0" footer="0"/>
  <pageSetup paperSize="9" scale="71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41"/>
  <sheetViews>
    <sheetView topLeftCell="B17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3" width="12.54296875" style="19"/>
    <col min="14" max="14" width="13.1796875" style="19" bestFit="1" customWidth="1"/>
    <col min="15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17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143</v>
      </c>
      <c r="J10" s="24" t="s">
        <v>27</v>
      </c>
      <c r="K10" s="493">
        <v>202412683</v>
      </c>
      <c r="L10" s="494"/>
    </row>
    <row r="11" spans="2:15" ht="20.149999999999999" customHeight="1" x14ac:dyDescent="0.45">
      <c r="B11" s="477" t="s">
        <v>1806</v>
      </c>
      <c r="C11" s="478"/>
      <c r="D11" s="479"/>
      <c r="E11" s="25"/>
      <c r="F11" s="480" t="str">
        <f>VLOOKUP(H10,'Delivery Location'!A$4:N$460,2,0)</f>
        <v>RED LANTERN RESTAURANT PTE LTD                  249 Sembawang Road   Singapore 758352</v>
      </c>
      <c r="G11" s="481"/>
      <c r="H11" s="482"/>
      <c r="J11" s="26" t="s">
        <v>9</v>
      </c>
      <c r="K11" s="495">
        <v>45657</v>
      </c>
      <c r="L11" s="496"/>
    </row>
    <row r="12" spans="2:15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7" t="s">
        <v>737</v>
      </c>
      <c r="O12" s="19" t="s">
        <v>1361</v>
      </c>
    </row>
    <row r="13" spans="2:15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7" t="s">
        <v>739</v>
      </c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7" t="s">
        <v>828</v>
      </c>
    </row>
    <row r="15" spans="2:15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  <c r="N15" s="17" t="s">
        <v>831</v>
      </c>
    </row>
    <row r="16" spans="2:15" ht="19" thickBot="1" x14ac:dyDescent="0.5">
      <c r="J16" s="17"/>
      <c r="N16" s="17" t="s">
        <v>969</v>
      </c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7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2</v>
      </c>
      <c r="H18" s="186" t="str">
        <f>VLOOKUP(C18,'Sales Master'!$B$3:$F$2413,5,0)</f>
        <v>NW(2.2:0.8) 3kg/ Bag包</v>
      </c>
      <c r="I18" s="497" t="str">
        <f>VLOOKUP(C18,'Sales Master'!$B$3:$E$2413,4,0)</f>
        <v>DO!</v>
      </c>
      <c r="J18" s="497"/>
      <c r="K18" s="184">
        <f>VLOOKUP(C18,'Sales Master'!B$3:AJ$2749,35,0)</f>
        <v>8</v>
      </c>
      <c r="L18" s="84">
        <f t="shared" ref="L18" si="0">K18*G18</f>
        <v>16</v>
      </c>
      <c r="M18" s="65"/>
      <c r="N18" s="145">
        <f>VLOOKUP(C18,'Sales Master'!$B$3:$DA$2272,104,0)</f>
        <v>2.44</v>
      </c>
      <c r="O18" s="145">
        <f t="shared" ref="O18" si="1">K18-N18</f>
        <v>5.5600000000000005</v>
      </c>
      <c r="P18" s="145">
        <f t="shared" ref="P18" si="2">O18*G18</f>
        <v>11.120000000000001</v>
      </c>
      <c r="Q18" s="63"/>
    </row>
    <row r="19" spans="2:17" ht="20.149999999999999" customHeight="1" x14ac:dyDescent="0.45">
      <c r="B19" s="29"/>
      <c r="C19" s="212" t="s">
        <v>2201</v>
      </c>
      <c r="D19" s="461" t="str">
        <f>VLOOKUP(C19,'Sales Master'!B$3:D$530,2,)</f>
        <v>Coconut Sugar Syrup 椰糖浆</v>
      </c>
      <c r="E19" s="461"/>
      <c r="F19" s="461"/>
      <c r="G19" s="76">
        <v>1</v>
      </c>
      <c r="H19" s="186" t="str">
        <f>VLOOKUP(C19,'Sales Master'!$B$3:$F$2413,5,0)</f>
        <v>GW: 5 KG/ Btl支</v>
      </c>
      <c r="I19" s="497" t="str">
        <f>VLOOKUP(C19,'Sales Master'!$B$3:$E$2413,4,0)</f>
        <v>DO!</v>
      </c>
      <c r="J19" s="497"/>
      <c r="K19" s="184">
        <f>VLOOKUP(C19,'Sales Master'!B$3:AJ$2749,35,0)</f>
        <v>20</v>
      </c>
      <c r="L19" s="84">
        <f t="shared" ref="L19" si="3">K19*G19</f>
        <v>20</v>
      </c>
      <c r="M19" s="65"/>
      <c r="N19" s="145">
        <f>VLOOKUP(C19,'Sales Master'!$B$3:$DA$2272,104,0)</f>
        <v>8.89</v>
      </c>
      <c r="O19" s="145">
        <f t="shared" ref="O19" si="4">K19-N19</f>
        <v>11.11</v>
      </c>
      <c r="P19" s="145">
        <f t="shared" ref="P19" si="5">O19*G19</f>
        <v>11.11</v>
      </c>
    </row>
    <row r="20" spans="2:17" ht="20.149999999999999" customHeight="1" x14ac:dyDescent="0.45">
      <c r="B20" s="29"/>
      <c r="C20" s="212" t="s">
        <v>1361</v>
      </c>
      <c r="D20" s="492" t="str">
        <f>VLOOKUP(C20,'Sales Master'!B$3:D$530,2,)</f>
        <v>Agar Agar Red Jelly 菜燕冻红</v>
      </c>
      <c r="E20" s="492"/>
      <c r="F20" s="492"/>
      <c r="G20" s="76">
        <v>2</v>
      </c>
      <c r="H20" s="186" t="str">
        <f>VLOOKUP(C20,'Sales Master'!$B$3:$F$2413,5,0)</f>
        <v>900 GM</v>
      </c>
      <c r="I20" s="497" t="str">
        <f>VLOOKUP(C20,'Sales Master'!$B$3:$E$2413,4,0)</f>
        <v>-</v>
      </c>
      <c r="J20" s="497"/>
      <c r="K20" s="184">
        <f>VLOOKUP(C20,'Sales Master'!B$3:AJ$2749,35,0)</f>
        <v>3.4</v>
      </c>
      <c r="L20" s="84">
        <f t="shared" ref="L20" si="6">K20*G20</f>
        <v>6.8</v>
      </c>
      <c r="M20" s="65"/>
      <c r="N20" s="145">
        <f>VLOOKUP(C20,'Sales Master'!$B$3:$DA$2272,104,0)</f>
        <v>2.4</v>
      </c>
      <c r="O20" s="145">
        <f t="shared" ref="O20" si="7">K20-N20</f>
        <v>1</v>
      </c>
      <c r="P20" s="145">
        <f t="shared" ref="P20" si="8">O20*G20</f>
        <v>2</v>
      </c>
    </row>
    <row r="21" spans="2:17" ht="20.149999999999999" customHeight="1" x14ac:dyDescent="0.45">
      <c r="B21" s="29"/>
      <c r="C21" s="212" t="s">
        <v>828</v>
      </c>
      <c r="D21" s="461" t="str">
        <f>VLOOKUP(C21,'Sales Master'!B$3:D$530,2,)</f>
        <v>Atap Seeds in Syrup 亚嗒子</v>
      </c>
      <c r="E21" s="461"/>
      <c r="F21" s="461"/>
      <c r="G21" s="76">
        <v>2</v>
      </c>
      <c r="H21" s="186" t="str">
        <f>VLOOKUP(C21,'Sales Master'!$B$3:$F$2413,5,0)</f>
        <v>NW(2.1:0.9) 3kg/ Bag包</v>
      </c>
      <c r="I21" s="497" t="str">
        <f>VLOOKUP(C21,'Sales Master'!$B$3:$E$2413,4,0)</f>
        <v>DO!</v>
      </c>
      <c r="J21" s="497"/>
      <c r="K21" s="184">
        <f>VLOOKUP(C21,'Sales Master'!B$3:AJ$2749,35,0)</f>
        <v>12.5</v>
      </c>
      <c r="L21" s="84">
        <f>K21*G21</f>
        <v>25</v>
      </c>
      <c r="M21" s="65"/>
      <c r="N21" s="145">
        <f>VLOOKUP(C21,'Sales Master'!$B$3:$DA$2272,104,0)</f>
        <v>9.6</v>
      </c>
      <c r="O21" s="145">
        <f>K21-N21</f>
        <v>2.9000000000000004</v>
      </c>
      <c r="P21" s="145">
        <f>O21*G21</f>
        <v>5.8000000000000007</v>
      </c>
    </row>
    <row r="22" spans="2:17" ht="20.149999999999999" customHeight="1" x14ac:dyDescent="0.45">
      <c r="B22" s="29"/>
      <c r="C22" s="212" t="s">
        <v>831</v>
      </c>
      <c r="D22" s="492" t="str">
        <f>VLOOKUP(C22,'Sales Master'!B$3:D$530,2,)</f>
        <v>Chin Chow  仙草</v>
      </c>
      <c r="E22" s="492"/>
      <c r="F22" s="492"/>
      <c r="G22" s="76">
        <v>9</v>
      </c>
      <c r="H22" s="186" t="str">
        <f>VLOOKUP(C22,'Sales Master'!$B$3:$F$2413,5,0)</f>
        <v>4 KG/ Pkt包</v>
      </c>
      <c r="I22" s="497" t="str">
        <f>VLOOKUP(C22,'Sales Master'!$B$3:$E$2413,4,0)</f>
        <v>TSM</v>
      </c>
      <c r="J22" s="497"/>
      <c r="K22" s="184">
        <f>VLOOKUP(C22,'Sales Master'!B$3:AJ$2749,35,0)</f>
        <v>6</v>
      </c>
      <c r="L22" s="84">
        <f>K22*G22</f>
        <v>54</v>
      </c>
      <c r="M22" s="65"/>
      <c r="N22" s="145">
        <f>VLOOKUP(C22,'Sales Master'!$B$3:$DA$2272,104,0)</f>
        <v>4</v>
      </c>
      <c r="O22" s="145">
        <f>K22-N22</f>
        <v>2</v>
      </c>
      <c r="P22" s="145">
        <f>O22*G22</f>
        <v>18</v>
      </c>
    </row>
    <row r="23" spans="2:17" ht="20.149999999999999" customHeight="1" x14ac:dyDescent="0.45">
      <c r="B23" s="29"/>
      <c r="C23" s="212" t="s">
        <v>969</v>
      </c>
      <c r="D23" s="492" t="str">
        <f>VLOOKUP(C23,'Sales Master'!B$3:D$530,2,)</f>
        <v>Canned Red Bean 罐头红豆</v>
      </c>
      <c r="E23" s="492"/>
      <c r="F23" s="492"/>
      <c r="G23" s="76">
        <v>3</v>
      </c>
      <c r="H23" s="186" t="str">
        <f>VLOOKUP(C23,'Sales Master'!$B$3:$F$2413,5,0)</f>
        <v xml:space="preserve">3.3 KG/ Can </v>
      </c>
      <c r="I23" s="497" t="str">
        <f>VLOOKUP(C23,'Sales Master'!$B$3:$E$2413,4,0)</f>
        <v>Joy</v>
      </c>
      <c r="J23" s="497"/>
      <c r="K23" s="184">
        <f>VLOOKUP(C23,'Sales Master'!B$3:AJ$2749,35,0)</f>
        <v>11.5</v>
      </c>
      <c r="L23" s="84">
        <f t="shared" ref="L23" si="9">K23*G23</f>
        <v>34.5</v>
      </c>
      <c r="M23" s="65"/>
      <c r="N23" s="145">
        <f>VLOOKUP(C23,'Sales Master'!$B$3:$DA$2272,104,0)</f>
        <v>8.3333333333333339</v>
      </c>
      <c r="O23" s="145">
        <f t="shared" ref="O23" si="10">K23-N23</f>
        <v>3.1666666666666661</v>
      </c>
      <c r="P23" s="145">
        <f t="shared" ref="P23" si="11">O23*G23</f>
        <v>9.4999999999999982</v>
      </c>
    </row>
    <row r="24" spans="2:17" ht="20.149999999999999" customHeight="1" x14ac:dyDescent="0.45">
      <c r="B24" s="58"/>
      <c r="C24" s="212"/>
      <c r="D24" s="461"/>
      <c r="E24" s="461"/>
      <c r="F24" s="461"/>
      <c r="G24" s="76"/>
      <c r="H24" s="186"/>
      <c r="I24" s="497"/>
      <c r="J24" s="497"/>
      <c r="K24" s="184"/>
      <c r="L24" s="84"/>
      <c r="M24" s="65"/>
      <c r="N24" s="145"/>
      <c r="O24" s="145"/>
      <c r="P24" s="145"/>
    </row>
    <row r="25" spans="2:17" ht="20.149999999999999" customHeight="1" x14ac:dyDescent="0.45">
      <c r="B25" s="58"/>
      <c r="C25" s="212"/>
      <c r="D25" s="461"/>
      <c r="E25" s="461"/>
      <c r="F25" s="461"/>
      <c r="G25" s="76"/>
      <c r="H25" s="186"/>
      <c r="I25" s="497"/>
      <c r="J25" s="497"/>
      <c r="K25" s="150"/>
      <c r="L25" s="84"/>
      <c r="M25" s="65"/>
      <c r="N25" s="145"/>
      <c r="O25" s="145"/>
      <c r="P25" s="145"/>
    </row>
    <row r="26" spans="2:17" ht="20.149999999999999" customHeight="1" x14ac:dyDescent="0.45">
      <c r="B26" s="58"/>
      <c r="C26" s="212"/>
      <c r="D26" s="461"/>
      <c r="E26" s="461"/>
      <c r="F26" s="461"/>
      <c r="G26" s="76"/>
      <c r="H26" s="186"/>
      <c r="I26" s="497"/>
      <c r="J26" s="497"/>
      <c r="K26" s="150"/>
      <c r="L26" s="84"/>
      <c r="M26" s="65"/>
      <c r="N26" s="145"/>
      <c r="O26" s="145"/>
      <c r="P26" s="145"/>
    </row>
    <row r="27" spans="2:17" ht="20.149999999999999" customHeight="1" x14ac:dyDescent="0.45">
      <c r="B27" s="58"/>
      <c r="C27" s="212"/>
      <c r="D27" s="147"/>
      <c r="E27" s="147"/>
      <c r="F27" s="147"/>
      <c r="G27" s="76"/>
      <c r="H27" s="196"/>
      <c r="I27" s="209"/>
      <c r="J27" s="209"/>
      <c r="K27" s="190"/>
      <c r="L27" s="84"/>
      <c r="M27" s="65"/>
      <c r="N27" s="145"/>
      <c r="O27" s="145"/>
      <c r="P27" s="145"/>
    </row>
    <row r="28" spans="2:17" ht="20.149999999999999" customHeight="1" thickBot="1" x14ac:dyDescent="0.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9"/>
    </row>
    <row r="29" spans="2:17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SUM(L18:L28)</f>
        <v>156.30000000000001</v>
      </c>
      <c r="M29" s="63">
        <f>SUM(P18:P26)</f>
        <v>57.53</v>
      </c>
      <c r="N29" s="133">
        <f>M29/L29</f>
        <v>0.36807421625079972</v>
      </c>
    </row>
    <row r="30" spans="2:17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7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156.30000000000001</v>
      </c>
    </row>
    <row r="32" spans="2:17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14.067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170.36700000000002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5">
    <mergeCell ref="J33:K33"/>
    <mergeCell ref="J29:K29"/>
    <mergeCell ref="J31:K31"/>
    <mergeCell ref="D24:F24"/>
    <mergeCell ref="I24:J24"/>
    <mergeCell ref="I25:J25"/>
    <mergeCell ref="D26:F26"/>
    <mergeCell ref="I26:J26"/>
    <mergeCell ref="D25:F25"/>
    <mergeCell ref="B1:L8"/>
    <mergeCell ref="B15:D15"/>
    <mergeCell ref="B13:D13"/>
    <mergeCell ref="K13:L13"/>
    <mergeCell ref="B14:D14"/>
    <mergeCell ref="K14:L14"/>
    <mergeCell ref="K15:L15"/>
    <mergeCell ref="B11:D11"/>
    <mergeCell ref="K10:L10"/>
    <mergeCell ref="F11:H15"/>
    <mergeCell ref="K11:L11"/>
    <mergeCell ref="K12:L12"/>
    <mergeCell ref="D23:F23"/>
    <mergeCell ref="I23:J23"/>
    <mergeCell ref="D17:F17"/>
    <mergeCell ref="I17:J17"/>
    <mergeCell ref="I21:J21"/>
    <mergeCell ref="D18:F18"/>
    <mergeCell ref="I18:J18"/>
    <mergeCell ref="D21:F21"/>
    <mergeCell ref="D19:F19"/>
    <mergeCell ref="I19:J19"/>
    <mergeCell ref="D20:F20"/>
    <mergeCell ref="D22:F22"/>
    <mergeCell ref="I22:J22"/>
    <mergeCell ref="I20:J20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48"/>
  <sheetViews>
    <sheetView topLeftCell="A26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8.5" customHeight="1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163</v>
      </c>
      <c r="J10" s="24" t="s">
        <v>27</v>
      </c>
      <c r="K10" s="493">
        <v>202501114</v>
      </c>
      <c r="L10" s="494"/>
    </row>
    <row r="11" spans="2:15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Fusionoplis One                                            1 Fusionopolis Way Basement 2    #B2-02 Singapore 138632                                    (Dessert)</v>
      </c>
      <c r="G11" s="481"/>
      <c r="H11" s="482"/>
      <c r="J11" s="26" t="s">
        <v>9</v>
      </c>
      <c r="K11" s="486">
        <v>45663</v>
      </c>
      <c r="L11" s="487"/>
    </row>
    <row r="12" spans="2:15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06" t="s">
        <v>34</v>
      </c>
      <c r="L12" s="507"/>
    </row>
    <row r="13" spans="2:15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5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961</v>
      </c>
      <c r="O14" s="19" t="s">
        <v>237</v>
      </c>
    </row>
    <row r="15" spans="2:15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773</v>
      </c>
      <c r="D18" s="461" t="str">
        <f>VLOOKUP(C18,'Sales Master'!B$3:D$530,2,)</f>
        <v>Agar Powder 菜燕粉</v>
      </c>
      <c r="E18" s="461"/>
      <c r="F18" s="461"/>
      <c r="G18" s="76">
        <v>1</v>
      </c>
      <c r="H18" s="188" t="str">
        <f>VLOOKUP(C18,'Sales Master'!$B$3:$F$2481,5,0)</f>
        <v>43 gms x 10PKT/Bag</v>
      </c>
      <c r="I18" s="497" t="str">
        <f>VLOOKUP(C18,'Sales Master'!$B$3:$E$2481,4,0)</f>
        <v>No 1</v>
      </c>
      <c r="J18" s="497"/>
      <c r="K18" s="99">
        <f>VLOOKUP(C18,'Sales Master'!$B$3:$AY$530,50,0)</f>
        <v>30</v>
      </c>
      <c r="L18" s="31">
        <f t="shared" ref="L18" si="0">K18*G18</f>
        <v>30</v>
      </c>
      <c r="N18" s="145">
        <f>VLOOKUP(C18,'Sales Master'!$B$3:$DA$2272,104,0)</f>
        <v>15.05</v>
      </c>
      <c r="O18" s="145">
        <f t="shared" ref="O18" si="1">K18-N18</f>
        <v>14.95</v>
      </c>
      <c r="P18" s="145">
        <f t="shared" ref="P18" si="2">O18*G18</f>
        <v>14.95</v>
      </c>
    </row>
    <row r="19" spans="2:16" ht="20.149999999999999" customHeight="1" x14ac:dyDescent="0.45">
      <c r="B19" s="29"/>
      <c r="C19" s="212" t="s">
        <v>836</v>
      </c>
      <c r="D19" s="461" t="str">
        <f>VLOOKUP(C19,'Sales Master'!B$3:D$530,2,)</f>
        <v>Red Bean 红豆 (5.5 mm)</v>
      </c>
      <c r="E19" s="461"/>
      <c r="F19" s="461"/>
      <c r="G19" s="76">
        <v>2</v>
      </c>
      <c r="H19" s="188" t="str">
        <f>VLOOKUP(C19,'Sales Master'!$B$3:$F$2481,5,0)</f>
        <v>5 KG</v>
      </c>
      <c r="I19" s="497" t="str">
        <f>VLOOKUP(C19,'Sales Master'!$B$3:$E$2481,4,0)</f>
        <v>-</v>
      </c>
      <c r="J19" s="497"/>
      <c r="K19" s="99">
        <f>VLOOKUP(C19,'Sales Master'!$B$3:$AY$530,50,0)</f>
        <v>17.5</v>
      </c>
      <c r="L19" s="31">
        <f t="shared" ref="L19:L20" si="3">K19*G19</f>
        <v>35</v>
      </c>
      <c r="N19" s="145">
        <f>VLOOKUP(C19,'Sales Master'!$B$3:$DA$2272,104,0)</f>
        <v>12.5</v>
      </c>
      <c r="O19" s="145">
        <f t="shared" ref="O19:O20" si="4">K19-N19</f>
        <v>5</v>
      </c>
      <c r="P19" s="145">
        <f t="shared" ref="P19:P20" si="5">O19*G19</f>
        <v>10</v>
      </c>
    </row>
    <row r="20" spans="2:16" ht="20.149999999999999" customHeight="1" x14ac:dyDescent="0.45">
      <c r="B20" s="29"/>
      <c r="C20" s="212" t="s">
        <v>849</v>
      </c>
      <c r="D20" s="461" t="str">
        <f>VLOOKUP(C20,'Sales Master'!B$3:D$530,2,)</f>
        <v>Green Bean 绿豆</v>
      </c>
      <c r="E20" s="461"/>
      <c r="F20" s="461"/>
      <c r="G20" s="17">
        <v>3</v>
      </c>
      <c r="H20" s="188" t="str">
        <f>VLOOKUP(C20,'Sales Master'!$B$3:$F$2481,5,0)</f>
        <v>5 KG</v>
      </c>
      <c r="I20" s="497" t="str">
        <f>VLOOKUP(C20,'Sales Master'!$B$3:$E$2481,4,0)</f>
        <v>-</v>
      </c>
      <c r="J20" s="497"/>
      <c r="K20" s="99">
        <f>VLOOKUP(C20,'Sales Master'!$B$3:$AY$530,50,0)</f>
        <v>13</v>
      </c>
      <c r="L20" s="31">
        <f t="shared" si="3"/>
        <v>39</v>
      </c>
      <c r="N20" s="145">
        <f>VLOOKUP(C20,'Sales Master'!$B$3:$DA$2272,104,0)</f>
        <v>8.75</v>
      </c>
      <c r="O20" s="145">
        <f t="shared" si="4"/>
        <v>4.25</v>
      </c>
      <c r="P20" s="145">
        <f t="shared" si="5"/>
        <v>12.75</v>
      </c>
    </row>
    <row r="21" spans="2:16" ht="20.149999999999999" customHeight="1" x14ac:dyDescent="0.45">
      <c r="B21" s="29"/>
      <c r="C21" s="212" t="s">
        <v>861</v>
      </c>
      <c r="D21" s="492" t="str">
        <f>VLOOKUP(C21,'Sales Master'!B$3:D$530,2,)</f>
        <v>Black Glutinous Rice 黑糯米</v>
      </c>
      <c r="E21" s="492"/>
      <c r="F21" s="492"/>
      <c r="G21" s="17">
        <v>1</v>
      </c>
      <c r="H21" s="188" t="str">
        <f>VLOOKUP(C21,'Sales Master'!$B$3:$F$2481,5,0)</f>
        <v>5 KGS</v>
      </c>
      <c r="I21" s="497" t="str">
        <f>VLOOKUP(C21,'Sales Master'!$B$3:$E$2481,4,0)</f>
        <v>-</v>
      </c>
      <c r="J21" s="497"/>
      <c r="K21" s="99">
        <f>VLOOKUP(C21,'Sales Master'!$B$3:$AY$530,50,0)</f>
        <v>18</v>
      </c>
      <c r="L21" s="31">
        <f>K21*G21</f>
        <v>18</v>
      </c>
      <c r="N21" s="145">
        <f>VLOOKUP(C21,'Sales Master'!$B$3:$DA$2272,104,0)</f>
        <v>12</v>
      </c>
      <c r="O21" s="145">
        <f>K21-N21</f>
        <v>6</v>
      </c>
      <c r="P21" s="145">
        <f>O21*G21</f>
        <v>6</v>
      </c>
    </row>
    <row r="22" spans="2:16" ht="20.149999999999999" customHeight="1" x14ac:dyDescent="0.45">
      <c r="B22" s="58"/>
      <c r="C22" s="212" t="s">
        <v>868</v>
      </c>
      <c r="D22" s="461" t="str">
        <f>VLOOKUP(C22,'Sales Master'!B$3:D$530,2,)</f>
        <v>White Wheat 大麦</v>
      </c>
      <c r="E22" s="461"/>
      <c r="F22" s="461"/>
      <c r="G22" s="17">
        <v>1</v>
      </c>
      <c r="H22" s="188" t="str">
        <f>VLOOKUP(C22,'Sales Master'!$B$3:$F$2481,5,0)</f>
        <v>10 PKT/ Bag</v>
      </c>
      <c r="I22" s="497" t="str">
        <f>VLOOKUP(C22,'Sales Master'!$B$3:$E$2481,4,0)</f>
        <v>-</v>
      </c>
      <c r="J22" s="497"/>
      <c r="K22" s="99">
        <f>VLOOKUP(C22,'Sales Master'!$B$3:$AY$530,50,0)</f>
        <v>9.5</v>
      </c>
      <c r="L22" s="31">
        <f>K22*G22</f>
        <v>9.5</v>
      </c>
      <c r="N22" s="145">
        <f>VLOOKUP(C22,'Sales Master'!$B$3:$DA$2272,104,0)</f>
        <v>7.8</v>
      </c>
      <c r="O22" s="145">
        <f>K22-N22</f>
        <v>1.7000000000000002</v>
      </c>
      <c r="P22" s="145">
        <f>O22*G22</f>
        <v>1.7000000000000002</v>
      </c>
    </row>
    <row r="23" spans="2:16" ht="20.149999999999999" customHeight="1" x14ac:dyDescent="0.45">
      <c r="B23" s="29"/>
      <c r="C23" s="212" t="s">
        <v>870</v>
      </c>
      <c r="D23" s="461" t="str">
        <f>VLOOKUP(C23,'Sales Master'!B$3:D$530,2,)</f>
        <v>Pearl Barley 薏米</v>
      </c>
      <c r="E23" s="461"/>
      <c r="F23" s="461"/>
      <c r="G23" s="76">
        <v>1</v>
      </c>
      <c r="H23" s="188" t="str">
        <f>VLOOKUP(C23,'Sales Master'!$B$3:$F$2481,5,0)</f>
        <v>5 KG</v>
      </c>
      <c r="I23" s="497" t="str">
        <f>VLOOKUP(C23,'Sales Master'!$B$3:$E$2481,4,0)</f>
        <v>-</v>
      </c>
      <c r="J23" s="497"/>
      <c r="K23" s="99">
        <f>VLOOKUP(C23,'Sales Master'!$B$3:$AY$530,50,0)</f>
        <v>10</v>
      </c>
      <c r="L23" s="31">
        <f>K23*G23</f>
        <v>10</v>
      </c>
      <c r="N23" s="145">
        <f>VLOOKUP(C23,'Sales Master'!$B$3:$DA$2272,104,0)</f>
        <v>7.6</v>
      </c>
      <c r="O23" s="145">
        <f>K23-N23</f>
        <v>2.4000000000000004</v>
      </c>
      <c r="P23" s="145">
        <f>O23*G23</f>
        <v>2.4000000000000004</v>
      </c>
    </row>
    <row r="24" spans="2:16" ht="20.149999999999999" customHeight="1" x14ac:dyDescent="0.45">
      <c r="B24" s="29"/>
      <c r="C24" s="212" t="s">
        <v>873</v>
      </c>
      <c r="D24" s="461" t="str">
        <f>VLOOKUP(C24,'Sales Master'!B$3:D$530,2,)</f>
        <v>Big Sago 大丸</v>
      </c>
      <c r="E24" s="461"/>
      <c r="F24" s="461"/>
      <c r="G24" s="76">
        <v>1</v>
      </c>
      <c r="H24" s="188" t="str">
        <f>VLOOKUP(C24,'Sales Master'!$B$3:$F$2481,5,0)</f>
        <v>5 KG</v>
      </c>
      <c r="I24" s="497" t="str">
        <f>VLOOKUP(C24,'Sales Master'!$B$3:$E$2481,4,0)</f>
        <v>-</v>
      </c>
      <c r="J24" s="497"/>
      <c r="K24" s="99">
        <f>VLOOKUP(C24,'Sales Master'!$B$3:$AY$530,50,0)</f>
        <v>11</v>
      </c>
      <c r="L24" s="31">
        <f>K24*G24</f>
        <v>11</v>
      </c>
      <c r="N24" s="145">
        <f>VLOOKUP(C24,'Sales Master'!$B$3:$DA$2272,104,0)</f>
        <v>8.5</v>
      </c>
      <c r="O24" s="145">
        <f>K24-N24</f>
        <v>2.5</v>
      </c>
      <c r="P24" s="145">
        <f>O24*G24</f>
        <v>2.5</v>
      </c>
    </row>
    <row r="25" spans="2:16" ht="20.149999999999999" customHeight="1" x14ac:dyDescent="0.45">
      <c r="B25" s="58"/>
      <c r="C25" s="212" t="s">
        <v>877</v>
      </c>
      <c r="D25" s="461" t="str">
        <f>VLOOKUP(C25,'Sales Master'!B$3:D$530,2,)</f>
        <v>Small Sago 小丸</v>
      </c>
      <c r="E25" s="461"/>
      <c r="F25" s="461"/>
      <c r="G25" s="17">
        <v>1</v>
      </c>
      <c r="H25" s="188" t="str">
        <f>VLOOKUP(C25,'Sales Master'!$B$3:$F$2481,5,0)</f>
        <v>5 KG</v>
      </c>
      <c r="I25" s="497" t="str">
        <f>VLOOKUP(C25,'Sales Master'!$B$3:$E$2481,4,0)</f>
        <v>-</v>
      </c>
      <c r="J25" s="497"/>
      <c r="K25" s="99">
        <f>VLOOKUP(C25,'Sales Master'!$B$3:$AY$530,50,0)</f>
        <v>10</v>
      </c>
      <c r="L25" s="31">
        <f>K25*G25</f>
        <v>10</v>
      </c>
      <c r="N25" s="145">
        <f>VLOOKUP(C25,'Sales Master'!$B$3:$DA$2272,104,0)</f>
        <v>0.70833333333333326</v>
      </c>
      <c r="O25" s="145">
        <f>K25-N25</f>
        <v>9.2916666666666661</v>
      </c>
      <c r="P25" s="145">
        <f>O25*G25</f>
        <v>9.2916666666666661</v>
      </c>
    </row>
    <row r="26" spans="2:16" ht="20.149999999999999" customHeight="1" x14ac:dyDescent="0.45">
      <c r="B26" s="58"/>
      <c r="C26" s="212" t="s">
        <v>880</v>
      </c>
      <c r="D26" s="461" t="str">
        <f>VLOOKUP(C26,'Sales Master'!B$3:D$530,2,)</f>
        <v>Dried Longan 龙眼干</v>
      </c>
      <c r="E26" s="461"/>
      <c r="F26" s="461"/>
      <c r="G26" s="17">
        <v>2</v>
      </c>
      <c r="H26" s="188" t="str">
        <f>VLOOKUP(C26,'Sales Master'!$B$3:$F$2481,5,0)</f>
        <v>1 kg</v>
      </c>
      <c r="I26" s="497" t="str">
        <f>VLOOKUP(C26,'Sales Master'!$B$3:$E$2481,4,0)</f>
        <v>TL</v>
      </c>
      <c r="J26" s="497"/>
      <c r="K26" s="99">
        <f>VLOOKUP(C26,'Sales Master'!$B$3:$AY$530,50,0)</f>
        <v>12</v>
      </c>
      <c r="L26" s="31">
        <f t="shared" ref="L26:L28" si="6">K26*G26</f>
        <v>24</v>
      </c>
      <c r="N26" s="145">
        <f>VLOOKUP(C26,'Sales Master'!$B$3:$DA$2272,104,0)</f>
        <v>8.8000000000000007</v>
      </c>
      <c r="O26" s="145">
        <f t="shared" ref="O26:O28" si="7">K26-N26</f>
        <v>3.1999999999999993</v>
      </c>
      <c r="P26" s="145">
        <f t="shared" ref="P26:P28" si="8">O26*G26</f>
        <v>6.3999999999999986</v>
      </c>
    </row>
    <row r="27" spans="2:16" ht="20.149999999999999" customHeight="1" x14ac:dyDescent="0.45">
      <c r="B27" s="58"/>
      <c r="C27" s="212" t="s">
        <v>990</v>
      </c>
      <c r="D27" s="461" t="str">
        <f>VLOOKUP(C27,'Sales Master'!B$3:D$530,2,)</f>
        <v>Coconut Milk 椰浆</v>
      </c>
      <c r="E27" s="461"/>
      <c r="F27" s="461"/>
      <c r="G27" s="17">
        <v>2</v>
      </c>
      <c r="H27" s="188" t="str">
        <f>VLOOKUP(C27,'Sales Master'!$B$3:$F$2481,5,0)</f>
        <v>(1L x 12bag)/箱</v>
      </c>
      <c r="I27" s="497" t="str">
        <f>VLOOKUP(C27,'Sales Master'!$B$3:$E$2481,4,0)</f>
        <v>Kara UHT</v>
      </c>
      <c r="J27" s="497"/>
      <c r="K27" s="99">
        <f>VLOOKUP(C27,'Sales Master'!$B$3:$AY$530,50,0)</f>
        <v>42</v>
      </c>
      <c r="L27" s="31">
        <f t="shared" si="6"/>
        <v>84</v>
      </c>
      <c r="N27" s="145">
        <f>VLOOKUP(C27,'Sales Master'!$B$3:$DA$2272,104,0)</f>
        <v>35.799999999999997</v>
      </c>
      <c r="O27" s="145">
        <f t="shared" si="7"/>
        <v>6.2000000000000028</v>
      </c>
      <c r="P27" s="145">
        <f t="shared" si="8"/>
        <v>12.400000000000006</v>
      </c>
    </row>
    <row r="28" spans="2:16" ht="20.149999999999999" customHeight="1" x14ac:dyDescent="0.45">
      <c r="B28" s="58"/>
      <c r="C28" s="212" t="s">
        <v>1009</v>
      </c>
      <c r="D28" s="461" t="str">
        <f>VLOOKUP(C28,'Sales Master'!B$3:D$530,2,)</f>
        <v>Rock Sugar 冰糖</v>
      </c>
      <c r="E28" s="461"/>
      <c r="F28" s="461"/>
      <c r="G28" s="17">
        <v>1</v>
      </c>
      <c r="H28" s="188" t="str">
        <f>VLOOKUP(C28,'Sales Master'!$B$3:$F$2481,5,0)</f>
        <v>3 KG</v>
      </c>
      <c r="I28" s="497" t="str">
        <f>VLOOKUP(C28,'Sales Master'!$B$3:$E$2481,4,0)</f>
        <v>Star</v>
      </c>
      <c r="J28" s="497"/>
      <c r="K28" s="99">
        <f>VLOOKUP(C28,'Sales Master'!$B$3:$AY$530,50,0)</f>
        <v>6.5</v>
      </c>
      <c r="L28" s="31">
        <f t="shared" si="6"/>
        <v>6.5</v>
      </c>
      <c r="N28" s="145">
        <f>VLOOKUP(C28,'Sales Master'!$B$3:$DA$2272,104,0)</f>
        <v>4.666666666666667</v>
      </c>
      <c r="O28" s="145">
        <f t="shared" si="7"/>
        <v>1.833333333333333</v>
      </c>
      <c r="P28" s="145">
        <f t="shared" si="8"/>
        <v>1.833333333333333</v>
      </c>
    </row>
    <row r="29" spans="2:16" ht="20.149999999999999" customHeight="1" x14ac:dyDescent="0.45">
      <c r="B29" s="29"/>
      <c r="C29" s="212"/>
      <c r="D29" s="492"/>
      <c r="E29" s="492"/>
      <c r="F29" s="492"/>
      <c r="G29" s="76"/>
      <c r="H29" s="188"/>
      <c r="I29" s="497"/>
      <c r="J29" s="497"/>
      <c r="K29" s="99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8"/>
      <c r="I30" s="497"/>
      <c r="J30" s="497"/>
      <c r="K30" s="99"/>
      <c r="L30" s="31"/>
      <c r="N30" s="145"/>
      <c r="O30" s="145"/>
      <c r="P30" s="145"/>
    </row>
    <row r="31" spans="2:16" ht="20.149999999999999" customHeight="1" x14ac:dyDescent="0.45">
      <c r="B31" s="29"/>
      <c r="C31" s="149" t="s">
        <v>2317</v>
      </c>
      <c r="D31" s="403"/>
      <c r="E31" s="403"/>
      <c r="F31" s="403"/>
      <c r="G31" s="76"/>
      <c r="H31" s="186"/>
      <c r="I31" s="497"/>
      <c r="J31" s="497"/>
      <c r="K31" s="190"/>
      <c r="L31" s="31"/>
      <c r="N31" s="145"/>
      <c r="O31" s="145"/>
      <c r="P31" s="145"/>
    </row>
    <row r="32" spans="2:16" ht="20.149999999999999" customHeight="1" x14ac:dyDescent="0.45">
      <c r="B32" s="29"/>
      <c r="C32" s="212" t="s">
        <v>990</v>
      </c>
      <c r="D32" s="501" t="str">
        <f>VLOOKUP(C32,'[3]Sales Master'!B$3:D$663,2,0)</f>
        <v>Coconut Milk 椰浆</v>
      </c>
      <c r="E32" s="501"/>
      <c r="F32" s="501"/>
      <c r="G32" s="17">
        <v>1</v>
      </c>
      <c r="H32" s="186" t="str">
        <f>VLOOKUP(C32,'[3]Sales Master'!B$3:F$955,5,0)</f>
        <v>(1L x 12bag)/箱</v>
      </c>
      <c r="I32" s="497" t="str">
        <f>VLOOKUP(C32,'[3]Sales Master'!B$3:E$955,4,0)</f>
        <v>Kara UHT</v>
      </c>
      <c r="J32" s="497"/>
      <c r="K32" s="190">
        <v>48</v>
      </c>
      <c r="L32" s="31"/>
    </row>
    <row r="33" spans="2:17" ht="20.149999999999999" customHeight="1" x14ac:dyDescent="0.45">
      <c r="B33" s="29"/>
      <c r="C33" s="212" t="s">
        <v>991</v>
      </c>
      <c r="D33" s="501" t="str">
        <f>VLOOKUP(C33,'[3]Sales Master'!B$3:D$663,2,0)</f>
        <v>Coconut Milk 椰浆小</v>
      </c>
      <c r="E33" s="501"/>
      <c r="F33" s="501"/>
      <c r="G33" s="17">
        <v>1</v>
      </c>
      <c r="H33" s="186" t="str">
        <f>VLOOKUP(C33,'[3]Sales Master'!B$3:F$955,5,0)</f>
        <v>(200gm x 30bag)/箱</v>
      </c>
      <c r="I33" s="497" t="str">
        <f>VLOOKUP(C33,'[3]Sales Master'!B$3:E$955,4,0)</f>
        <v>Kara UHT</v>
      </c>
      <c r="J33" s="497"/>
      <c r="K33" s="190">
        <v>28</v>
      </c>
      <c r="L33" s="31"/>
    </row>
    <row r="34" spans="2:17" ht="20.149999999999999" customHeight="1" thickBot="1" x14ac:dyDescent="0.5">
      <c r="B34" s="32"/>
      <c r="C34" s="33"/>
      <c r="D34" s="490"/>
      <c r="E34" s="490"/>
      <c r="F34" s="490"/>
      <c r="G34" s="33"/>
      <c r="H34" s="33"/>
      <c r="I34" s="33"/>
      <c r="J34" s="33"/>
      <c r="K34" s="34"/>
      <c r="L34" s="35"/>
    </row>
    <row r="35" spans="2:17" ht="20.149999999999999" customHeight="1" thickBot="1" x14ac:dyDescent="0.5">
      <c r="B35" s="36"/>
      <c r="L35" s="37"/>
    </row>
    <row r="36" spans="2:17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SUM(L17:L32)</f>
        <v>277</v>
      </c>
      <c r="M36" s="63">
        <f>SUM(P18:P34)</f>
        <v>80.225000000000009</v>
      </c>
      <c r="N36" s="133">
        <f>M36/L36</f>
        <v>0.28962093862815885</v>
      </c>
      <c r="Q36" s="63">
        <f>SUM(Q30:Q35)</f>
        <v>0</v>
      </c>
    </row>
    <row r="37" spans="2:17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7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277</v>
      </c>
    </row>
    <row r="39" spans="2:17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24.93</v>
      </c>
    </row>
    <row r="40" spans="2:17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301.93</v>
      </c>
    </row>
    <row r="41" spans="2:17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  <c r="N41" s="173">
        <v>44641</v>
      </c>
      <c r="O41" s="19">
        <v>127.5</v>
      </c>
      <c r="P41" s="19">
        <v>18.8</v>
      </c>
      <c r="Q41" s="133">
        <f>P41/O41</f>
        <v>0.14745098039215687</v>
      </c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36"/>
      <c r="L44" s="37"/>
    </row>
    <row r="45" spans="2:17" ht="20.149999999999999" customHeight="1" x14ac:dyDescent="0.45">
      <c r="B45" s="36"/>
      <c r="L45" s="37"/>
    </row>
    <row r="46" spans="2:17" ht="20.149999999999999" customHeight="1" x14ac:dyDescent="0.45">
      <c r="B46" s="44"/>
      <c r="C46" s="45"/>
      <c r="D46" s="45"/>
      <c r="J46" s="45"/>
      <c r="K46" s="45"/>
      <c r="L46" s="46"/>
    </row>
    <row r="47" spans="2:17" ht="20.149999999999999" customHeight="1" x14ac:dyDescent="0.45">
      <c r="B47" s="36" t="s">
        <v>25</v>
      </c>
      <c r="J47" s="19" t="s">
        <v>26</v>
      </c>
      <c r="L47" s="37"/>
    </row>
    <row r="48" spans="2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0">
    <mergeCell ref="K13:L13"/>
    <mergeCell ref="B14:D14"/>
    <mergeCell ref="K14:L14"/>
    <mergeCell ref="J40:K40"/>
    <mergeCell ref="I19:J19"/>
    <mergeCell ref="I21:J21"/>
    <mergeCell ref="D17:F17"/>
    <mergeCell ref="I17:J17"/>
    <mergeCell ref="D18:F18"/>
    <mergeCell ref="I18:J18"/>
    <mergeCell ref="D30:F30"/>
    <mergeCell ref="I30:J30"/>
    <mergeCell ref="I23:J23"/>
    <mergeCell ref="I24:J24"/>
    <mergeCell ref="D23:F23"/>
    <mergeCell ref="J36:K36"/>
    <mergeCell ref="J38:K38"/>
    <mergeCell ref="D34:F34"/>
    <mergeCell ref="D32:F32"/>
    <mergeCell ref="D24:F24"/>
    <mergeCell ref="I29:J29"/>
    <mergeCell ref="D25:F25"/>
    <mergeCell ref="I32:J32"/>
    <mergeCell ref="D26:F26"/>
    <mergeCell ref="D27:F27"/>
    <mergeCell ref="I31:J31"/>
    <mergeCell ref="D33:F33"/>
    <mergeCell ref="I33:J33"/>
    <mergeCell ref="D22:F22"/>
    <mergeCell ref="D28:F28"/>
    <mergeCell ref="I26:J26"/>
    <mergeCell ref="I27:J27"/>
    <mergeCell ref="I22:J22"/>
    <mergeCell ref="I28:J28"/>
    <mergeCell ref="B1:L8"/>
    <mergeCell ref="D19:F19"/>
    <mergeCell ref="D21:F21"/>
    <mergeCell ref="D29:F29"/>
    <mergeCell ref="K10:L10"/>
    <mergeCell ref="B11:D11"/>
    <mergeCell ref="F11:H15"/>
    <mergeCell ref="K11:L11"/>
    <mergeCell ref="B12:D12"/>
    <mergeCell ref="I25:J25"/>
    <mergeCell ref="K15:L15"/>
    <mergeCell ref="D20:F20"/>
    <mergeCell ref="I20:J20"/>
    <mergeCell ref="B15:D15"/>
    <mergeCell ref="K12:L12"/>
    <mergeCell ref="B13:D13"/>
  </mergeCells>
  <conditionalFormatting sqref="C31">
    <cfRule type="duplicateValues" dxfId="212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D677-AD24-48A2-8F65-DA2523166E7D}">
  <sheetPr>
    <tabColor rgb="FFFFC000"/>
    <pageSetUpPr fitToPage="1"/>
  </sheetPr>
  <dimension ref="B1:Q45"/>
  <sheetViews>
    <sheetView topLeftCell="B2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164</v>
      </c>
      <c r="J10" s="24" t="s">
        <v>27</v>
      </c>
      <c r="K10" s="493">
        <v>202412611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  370 Alexandra Road #B1-20/21 Anchorpoint, Singapore 159953      </v>
      </c>
      <c r="G11" s="481"/>
      <c r="H11" s="482"/>
      <c r="J11" s="26" t="s">
        <v>9</v>
      </c>
      <c r="K11" s="495">
        <v>45653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880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820</v>
      </c>
      <c r="D18" s="461" t="str">
        <f>VLOOKUP(C18,'Sales Master'!B$3:D$530,2,)</f>
        <v>Rice Flour 粘米粉</v>
      </c>
      <c r="E18" s="461"/>
      <c r="F18" s="461"/>
      <c r="G18" s="17">
        <v>1</v>
      </c>
      <c r="H18" s="188" t="str">
        <f>VLOOKUP(C18,'Sales Master'!$B$3:$F$2413,5,0)</f>
        <v>(600 GM x 20)/ Ctn箱</v>
      </c>
      <c r="I18" s="497" t="str">
        <f>VLOOKUP(C18,'Sales Master'!$B$3:$E$2413,4,0)</f>
        <v>ERAWAN</v>
      </c>
      <c r="J18" s="497"/>
      <c r="K18" s="30">
        <f>VLOOKUP(C18,'Sales Master'!$B$3:$J$530,9,0)</f>
        <v>22.5</v>
      </c>
      <c r="L18" s="64">
        <f>K18*G18</f>
        <v>22.5</v>
      </c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186"/>
      <c r="I19" s="497"/>
      <c r="J19" s="497"/>
      <c r="K19" s="30"/>
      <c r="L19" s="64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6"/>
      <c r="I26" s="497"/>
      <c r="J26" s="497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6"/>
      <c r="I27" s="497"/>
      <c r="J27" s="497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6"/>
      <c r="I28" s="497"/>
      <c r="J28" s="497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6"/>
      <c r="I30" s="497"/>
      <c r="J30" s="497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SUM(L16:L31)</f>
        <v>22.5</v>
      </c>
      <c r="M33" s="63">
        <f>SUM(P18:P31)-L33*0.04</f>
        <v>-0.9</v>
      </c>
      <c r="N33" s="133">
        <f>M33/L33</f>
        <v>-0.04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22.5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2.0249999999999999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24.524999999999999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692-11A3-45F1-8F87-534D65D194C8}">
  <sheetPr>
    <tabColor rgb="FFFFC000"/>
    <pageSetUpPr fitToPage="1"/>
  </sheetPr>
  <dimension ref="B1:Q45"/>
  <sheetViews>
    <sheetView topLeftCell="B15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165</v>
      </c>
      <c r="J10" s="24" t="s">
        <v>27</v>
      </c>
      <c r="K10" s="493">
        <v>202404117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       370 Alexandra Road #B1-20/21 Anchorpoint, Singapore 159953      </v>
      </c>
      <c r="G11" s="481"/>
      <c r="H11" s="482"/>
      <c r="J11" s="26" t="s">
        <v>9</v>
      </c>
      <c r="K11" s="495">
        <v>45386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17">
        <v>2</v>
      </c>
      <c r="H18" s="186" t="str">
        <f>VLOOKUP(C18,'Sales Master'!$B$3:$F$2413,5,0)</f>
        <v>12 CAN/CARTON</v>
      </c>
      <c r="I18" s="497" t="str">
        <f>VLOOKUP(C18,'Sales Master'!$B$3:$E$2413,4,0)</f>
        <v>Statue</v>
      </c>
      <c r="J18" s="497"/>
      <c r="K18" s="30">
        <f>VLOOKUP(C18,'Sales Master'!$B$3:$J$530,9,0)</f>
        <v>22</v>
      </c>
      <c r="L18" s="64">
        <f>K18*G18</f>
        <v>44</v>
      </c>
      <c r="N18" s="145">
        <f>VLOOKUP(C18,'Sales Master'!$B$3:$DA$2272,104,0)</f>
        <v>16.5</v>
      </c>
      <c r="O18" s="145">
        <f>K18-N18</f>
        <v>5.5</v>
      </c>
      <c r="P18" s="145">
        <f>O18*G18</f>
        <v>11</v>
      </c>
      <c r="Q18" s="170"/>
    </row>
    <row r="19" spans="2:17" ht="20.149999999999999" customHeight="1" x14ac:dyDescent="0.45">
      <c r="B19" s="29"/>
      <c r="C19" s="17" t="s">
        <v>953</v>
      </c>
      <c r="D19" s="461" t="str">
        <f>VLOOKUP(C19,'Sales Master'!B$3:D$530,2,)</f>
        <v>Aloe Vera 芦荟 10mm</v>
      </c>
      <c r="E19" s="461"/>
      <c r="F19" s="461"/>
      <c r="G19" s="17">
        <v>1</v>
      </c>
      <c r="H19" s="186" t="str">
        <f>VLOOKUP(C19,'Sales Master'!$B$3:$F$2413,5,0)</f>
        <v>1 Can X A10</v>
      </c>
      <c r="I19" s="497" t="str">
        <f>VLOOKUP(C19,'Sales Master'!$B$3:$E$2413,4,0)</f>
        <v>Chefs</v>
      </c>
      <c r="J19" s="497"/>
      <c r="K19" s="30">
        <f>VLOOKUP(C19,'Sales Master'!$B$3:$J$530,9,0)</f>
        <v>10</v>
      </c>
      <c r="L19" s="64">
        <f>K19*G19</f>
        <v>10</v>
      </c>
      <c r="N19" s="145">
        <f>VLOOKUP(C19,'Sales Master'!$B$3:$DA$2272,104,0)</f>
        <v>7</v>
      </c>
      <c r="O19" s="145">
        <f>K19-N19</f>
        <v>3</v>
      </c>
      <c r="P19" s="145">
        <f>O19*G19</f>
        <v>3</v>
      </c>
      <c r="Q19" s="170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6"/>
      <c r="I20" s="497"/>
      <c r="J20" s="497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6"/>
      <c r="I21" s="497"/>
      <c r="J21" s="497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6"/>
      <c r="I26" s="497"/>
      <c r="J26" s="497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6"/>
      <c r="I27" s="497"/>
      <c r="J27" s="497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6"/>
      <c r="I28" s="497"/>
      <c r="J28" s="497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6"/>
      <c r="I30" s="497"/>
      <c r="J30" s="497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SUM(L16:L31)</f>
        <v>54</v>
      </c>
      <c r="M33" s="63">
        <f>SUM(P18:P31)-L33*0.04</f>
        <v>11.84</v>
      </c>
      <c r="N33" s="133">
        <f>M33/L33</f>
        <v>0.21925925925925926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54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4.8599999999999994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58.86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166</v>
      </c>
      <c r="J10" s="24" t="s">
        <v>27</v>
      </c>
      <c r="K10" s="493">
        <v>202206014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Fruit                                            535 Clementi Road Block 51, Level 2 Ngee Ann Polythenic NIC Singapore 599489                    </v>
      </c>
      <c r="G11" s="481"/>
      <c r="H11" s="482"/>
      <c r="J11" s="26" t="s">
        <v>9</v>
      </c>
      <c r="K11" s="504">
        <v>44713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17" t="s">
        <v>776</v>
      </c>
      <c r="D18" s="461" t="str">
        <f>VLOOKUP(C18,'Sales Master'!B$3:D$530,2,)</f>
        <v>Agar Powder 菜燕粉</v>
      </c>
      <c r="E18" s="461"/>
      <c r="F18" s="461"/>
      <c r="G18" s="17">
        <v>3</v>
      </c>
      <c r="H18" s="56" t="str">
        <f>VLOOKUP(C18,'Sales Master'!$B$3:$F$2481,5,0)</f>
        <v>(12g x 12pkt)/盒</v>
      </c>
      <c r="I18" s="491" t="str">
        <f>VLOOKUP(C18,'Sales Master'!$B$3:$E$2481,4,0)</f>
        <v>Rose</v>
      </c>
      <c r="J18" s="491"/>
      <c r="K18" s="30">
        <f>VLOOKUP(C18,'Sales Master'!$B$3:$BB$530,53,0)</f>
        <v>11</v>
      </c>
      <c r="L18" s="31">
        <f>K18*G18</f>
        <v>33</v>
      </c>
      <c r="N18" s="145">
        <f>VLOOKUP(C18,'Sales Master'!$B$3:$DA$2272,104,0)</f>
        <v>9</v>
      </c>
      <c r="O18" s="145">
        <f>K18-N18</f>
        <v>2</v>
      </c>
      <c r="P18" s="145">
        <f>O18*G18</f>
        <v>6</v>
      </c>
      <c r="R18" s="19">
        <v>2</v>
      </c>
      <c r="S18" s="19" t="s">
        <v>115</v>
      </c>
      <c r="T18" s="19" t="s">
        <v>429</v>
      </c>
      <c r="V18" s="19">
        <v>11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31"/>
      <c r="R19" s="19">
        <v>2</v>
      </c>
      <c r="S19" s="19" t="s">
        <v>34</v>
      </c>
      <c r="T19" s="19" t="s">
        <v>85</v>
      </c>
      <c r="V19" s="19">
        <v>10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22" ht="20.149999999999999" customHeight="1" x14ac:dyDescent="0.45">
      <c r="B21" s="29"/>
      <c r="C21" s="17"/>
      <c r="G21" s="17"/>
      <c r="H21" s="56"/>
      <c r="I21" s="473"/>
      <c r="J21" s="473"/>
      <c r="K21" s="30"/>
      <c r="L21" s="31"/>
    </row>
    <row r="22" spans="2:22" ht="20.149999999999999" customHeight="1" x14ac:dyDescent="0.45">
      <c r="B22" s="29"/>
      <c r="C22" s="17"/>
      <c r="G22" s="17"/>
      <c r="H22" s="56"/>
      <c r="I22" s="473"/>
      <c r="J22" s="473"/>
      <c r="K22" s="30"/>
      <c r="L22" s="31"/>
    </row>
    <row r="23" spans="2:22" ht="20.149999999999999" customHeight="1" x14ac:dyDescent="0.45">
      <c r="B23" s="29"/>
      <c r="C23" s="17"/>
      <c r="G23" s="17"/>
      <c r="H23" s="56"/>
      <c r="I23" s="473"/>
      <c r="J23" s="473"/>
      <c r="K23" s="30"/>
      <c r="L23" s="31"/>
    </row>
    <row r="24" spans="2:22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22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22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22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SUM(L17:L28)</f>
        <v>33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33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2.9699999999999998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35.97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D29:F29"/>
    <mergeCell ref="J31:K31"/>
    <mergeCell ref="J33:K33"/>
    <mergeCell ref="J35:K35"/>
    <mergeCell ref="D28:F28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45"/>
  <sheetViews>
    <sheetView topLeftCell="A21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167</v>
      </c>
      <c r="J10" s="24" t="s">
        <v>27</v>
      </c>
      <c r="K10" s="493">
        <v>202210442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535 Clementi Road Block 51, Level 2 Ngee Ann Polythenic NIC Singapore 599489                    </v>
      </c>
      <c r="G11" s="481"/>
      <c r="H11" s="482"/>
      <c r="J11" s="26" t="s">
        <v>9</v>
      </c>
      <c r="K11" s="495">
        <v>44859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990</v>
      </c>
      <c r="D18" s="461" t="str">
        <f>VLOOKUP(C18,'Sales Master'!B$3:D$530,2,)</f>
        <v>Coconut Milk 椰浆</v>
      </c>
      <c r="E18" s="461"/>
      <c r="F18" s="461"/>
      <c r="G18" s="17">
        <v>3</v>
      </c>
      <c r="H18" s="56" t="str">
        <f>VLOOKUP(C18,'Sales Master'!$B$3:$F$2481,5,0)</f>
        <v>(1L x 12bag)/箱</v>
      </c>
      <c r="I18" s="491" t="str">
        <f>VLOOKUP(C18,'Sales Master'!$B$3:$E$2481,4,0)</f>
        <v>Kara UHT</v>
      </c>
      <c r="J18" s="491"/>
      <c r="K18" s="30">
        <f>VLOOKUP(C18,'Sales Master'!B$3:J$530,9,0)</f>
        <v>42</v>
      </c>
      <c r="L18" s="31">
        <f>K18*G18</f>
        <v>126</v>
      </c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18.600000000000009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6"/>
      <c r="J21" s="17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6"/>
      <c r="J22" s="17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6"/>
      <c r="J23" s="17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6"/>
      <c r="J24" s="17"/>
      <c r="K24" s="30"/>
      <c r="L24" s="31"/>
    </row>
    <row r="25" spans="2:16" ht="20.149999999999999" customHeight="1" x14ac:dyDescent="0.45">
      <c r="B25" s="29"/>
      <c r="C25" s="149" t="s">
        <v>2317</v>
      </c>
      <c r="D25" s="403"/>
      <c r="E25" s="403"/>
      <c r="F25" s="403"/>
      <c r="G25" s="76"/>
      <c r="H25" s="186"/>
      <c r="I25" s="497"/>
      <c r="J25" s="497"/>
      <c r="K25" s="190"/>
      <c r="L25" s="31"/>
    </row>
    <row r="26" spans="2:16" ht="20.149999999999999" customHeight="1" x14ac:dyDescent="0.45">
      <c r="B26" s="29"/>
      <c r="C26" s="212" t="s">
        <v>990</v>
      </c>
      <c r="D26" s="501" t="str">
        <f>VLOOKUP(C26,'[3]Sales Master'!B$3:D$663,2,0)</f>
        <v>Coconut Milk 椰浆</v>
      </c>
      <c r="E26" s="501"/>
      <c r="F26" s="501"/>
      <c r="G26" s="17">
        <v>1</v>
      </c>
      <c r="H26" s="186" t="str">
        <f>VLOOKUP(C26,'[3]Sales Master'!B$3:F$955,5,0)</f>
        <v>(1L x 12bag)/箱</v>
      </c>
      <c r="I26" s="497" t="str">
        <f>VLOOKUP(C26,'[3]Sales Master'!B$3:E$955,4,0)</f>
        <v>Kara UHT</v>
      </c>
      <c r="J26" s="497"/>
      <c r="K26" s="190">
        <v>48</v>
      </c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SUM(L17:L30)</f>
        <v>126</v>
      </c>
      <c r="M33" s="63">
        <f>SUM(P18:P30)</f>
        <v>18.600000000000009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126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11.34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137.34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6"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  <mergeCell ref="I19:J19"/>
    <mergeCell ref="I20:J20"/>
    <mergeCell ref="D27:F27"/>
    <mergeCell ref="D22:F22"/>
    <mergeCell ref="D26:F26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5">
    <cfRule type="duplicateValues" dxfId="211" priority="1"/>
  </conditionalFormatting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P49"/>
  <sheetViews>
    <sheetView topLeftCell="A23" workbookViewId="0">
      <selection activeCell="C33" sqref="C33:K3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8164062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168</v>
      </c>
      <c r="J10" s="68" t="s">
        <v>27</v>
      </c>
      <c r="K10" s="493">
        <v>202412004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 535 Clementi Road Block 51, Level 2 Ngee Ann Polythenic NIC Singapore 599489                  </v>
      </c>
      <c r="G11" s="481"/>
      <c r="H11" s="482"/>
      <c r="J11" s="69" t="s">
        <v>9</v>
      </c>
      <c r="K11" s="495">
        <v>45628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468"/>
      <c r="L15" s="469"/>
    </row>
    <row r="16" spans="2:12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727</v>
      </c>
      <c r="D18" s="461" t="str">
        <f>VLOOKUP(C18,'Sales Master'!B$3:D$530,2,)</f>
        <v>Mango Puree 芒果酱</v>
      </c>
      <c r="E18" s="461"/>
      <c r="F18" s="461"/>
      <c r="G18" s="76">
        <v>2</v>
      </c>
      <c r="H18" s="85" t="str">
        <f>VLOOKUP(C18,'Sales Master'!$B$3:$F$2481,5,0)</f>
        <v>1 KG/ Box盒</v>
      </c>
      <c r="I18" s="497" t="str">
        <f>VLOOKUP(C18,'Sales Master'!$B$3:$E$2481,4,0)</f>
        <v>DO!</v>
      </c>
      <c r="J18" s="497"/>
      <c r="K18" s="30">
        <f>VLOOKUP(C18,'Sales Master'!B$3:BB$530,53,0)</f>
        <v>7</v>
      </c>
      <c r="L18" s="64">
        <f>K18*G18</f>
        <v>14</v>
      </c>
      <c r="M18" s="65"/>
      <c r="N18" s="145">
        <f>VLOOKUP(C18,'Sales Master'!$B$3:$DA$2272,104,0)</f>
        <v>2.15</v>
      </c>
      <c r="O18" s="145">
        <f>K18-N18</f>
        <v>4.8499999999999996</v>
      </c>
      <c r="P18" s="145">
        <f>O18*G18</f>
        <v>9.6999999999999993</v>
      </c>
    </row>
    <row r="19" spans="2:16" ht="20.149999999999999" customHeight="1" x14ac:dyDescent="0.45">
      <c r="B19" s="29"/>
      <c r="C19" s="212" t="s">
        <v>757</v>
      </c>
      <c r="D19" s="461" t="str">
        <f>VLOOKUP(C19,'Sales Master'!B$3:D$530,2,)</f>
        <v>Tadpole JELLY  蝌蚪</v>
      </c>
      <c r="E19" s="461"/>
      <c r="F19" s="461"/>
      <c r="G19" s="76">
        <v>2</v>
      </c>
      <c r="H19" s="85" t="str">
        <f>VLOOKUP(C19,'Sales Master'!$B$3:$F$2481,5,0)</f>
        <v>1 KG/ Bag包</v>
      </c>
      <c r="I19" s="497" t="str">
        <f>VLOOKUP(C19,'Sales Master'!$B$3:$E$2481,4,0)</f>
        <v>FJ</v>
      </c>
      <c r="J19" s="497"/>
      <c r="K19" s="30">
        <f>VLOOKUP(C19,'Sales Master'!B$3:BB$530,53,0)</f>
        <v>6</v>
      </c>
      <c r="L19" s="64">
        <f>K19*G19</f>
        <v>12</v>
      </c>
      <c r="M19" s="65"/>
      <c r="N19" s="145">
        <f>VLOOKUP(C19,'Sales Master'!$B$3:$DA$2272,104,0)</f>
        <v>5.5</v>
      </c>
      <c r="O19" s="145">
        <f>K19-N19</f>
        <v>0.5</v>
      </c>
      <c r="P19" s="145">
        <f>O19*G19</f>
        <v>1</v>
      </c>
    </row>
    <row r="20" spans="2:16" ht="20.149999999999999" customHeight="1" x14ac:dyDescent="0.45">
      <c r="B20" s="29"/>
      <c r="C20" s="212" t="s">
        <v>836</v>
      </c>
      <c r="D20" s="461" t="str">
        <f>VLOOKUP(C20,'Sales Master'!B$3:D$530,2,)</f>
        <v>Red Bean 红豆 (5.5 mm)</v>
      </c>
      <c r="E20" s="461"/>
      <c r="F20" s="461"/>
      <c r="G20" s="76">
        <v>2</v>
      </c>
      <c r="H20" s="85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Master'!B$3:BB$530,53,0)</f>
        <v>17.5</v>
      </c>
      <c r="L20" s="64">
        <f>K20*G20</f>
        <v>35</v>
      </c>
      <c r="M20" s="65"/>
      <c r="N20" s="145">
        <f>VLOOKUP(C20,'Sales Master'!$B$3:$DA$2272,104,0)</f>
        <v>12.5</v>
      </c>
      <c r="O20" s="145">
        <f>K20-N20</f>
        <v>5</v>
      </c>
      <c r="P20" s="145">
        <f>O20*G20</f>
        <v>10</v>
      </c>
    </row>
    <row r="21" spans="2:16" ht="20.149999999999999" customHeight="1" x14ac:dyDescent="0.45">
      <c r="B21" s="29"/>
      <c r="C21" s="212" t="s">
        <v>849</v>
      </c>
      <c r="D21" s="461" t="str">
        <f>VLOOKUP(C21,'Sales Master'!B$3:D$530,2,)</f>
        <v>Green Bean 绿豆</v>
      </c>
      <c r="E21" s="461"/>
      <c r="F21" s="461"/>
      <c r="G21" s="76">
        <v>1</v>
      </c>
      <c r="H21" s="85" t="str">
        <f>VLOOKUP(C21,'Sales Master'!$B$3:$F$2481,5,0)</f>
        <v>5 KG</v>
      </c>
      <c r="I21" s="497" t="str">
        <f>VLOOKUP(C21,'Sales Master'!$B$3:$E$2481,4,0)</f>
        <v>-</v>
      </c>
      <c r="J21" s="497"/>
      <c r="K21" s="30">
        <f>VLOOKUP(C21,'Sales Master'!B$3:BB$530,53,0)</f>
        <v>13</v>
      </c>
      <c r="L21" s="64">
        <f>K21*G21</f>
        <v>13</v>
      </c>
      <c r="M21" s="65"/>
      <c r="N21" s="145">
        <f>VLOOKUP(C21,'Sales Master'!$B$3:$DA$2272,104,0)</f>
        <v>8.75</v>
      </c>
      <c r="O21" s="145">
        <f>K21-N21</f>
        <v>4.25</v>
      </c>
      <c r="P21" s="145">
        <f>O21*G21</f>
        <v>4.25</v>
      </c>
    </row>
    <row r="22" spans="2:16" ht="20.149999999999999" customHeight="1" x14ac:dyDescent="0.45">
      <c r="B22" s="29"/>
      <c r="C22" s="212" t="s">
        <v>861</v>
      </c>
      <c r="D22" s="461" t="str">
        <f>VLOOKUP(C22,'Sales Master'!B$3:D$530,2,)</f>
        <v>Black Glutinous Rice 黑糯米</v>
      </c>
      <c r="E22" s="461"/>
      <c r="F22" s="461"/>
      <c r="G22" s="76">
        <v>1</v>
      </c>
      <c r="H22" s="85" t="str">
        <f>VLOOKUP(C22,'Sales Master'!$B$3:$F$2481,5,0)</f>
        <v>5 KGS</v>
      </c>
      <c r="I22" s="497" t="str">
        <f>VLOOKUP(C22,'Sales Master'!$B$3:$E$2481,4,0)</f>
        <v>-</v>
      </c>
      <c r="J22" s="497"/>
      <c r="K22" s="30">
        <f>VLOOKUP(C22,'Sales Master'!B$3:BB$530,53,0)</f>
        <v>18</v>
      </c>
      <c r="L22" s="64">
        <f t="shared" ref="L22" si="0">K22*G22</f>
        <v>18</v>
      </c>
      <c r="M22" s="65"/>
      <c r="N22" s="145">
        <f>VLOOKUP(C22,'Sales Master'!$B$3:$DA$2272,104,0)</f>
        <v>12</v>
      </c>
      <c r="O22" s="145">
        <f t="shared" ref="O22" si="1">K22-N22</f>
        <v>6</v>
      </c>
      <c r="P22" s="145">
        <f t="shared" ref="P22" si="2">O22*G22</f>
        <v>6</v>
      </c>
    </row>
    <row r="23" spans="2:16" ht="20.149999999999999" customHeight="1" x14ac:dyDescent="0.45">
      <c r="B23" s="29"/>
      <c r="C23" s="212" t="s">
        <v>870</v>
      </c>
      <c r="D23" s="461" t="str">
        <f>VLOOKUP(C23,'Sales Master'!B$3:D$530,2,)</f>
        <v>Pearl Barley 薏米</v>
      </c>
      <c r="E23" s="461"/>
      <c r="F23" s="461"/>
      <c r="G23" s="76">
        <v>1</v>
      </c>
      <c r="H23" s="85" t="str">
        <f>VLOOKUP(C23,'Sales Master'!$B$3:$F$2481,5,0)</f>
        <v>5 KG</v>
      </c>
      <c r="I23" s="497" t="str">
        <f>VLOOKUP(C23,'Sales Master'!$B$3:$E$2481,4,0)</f>
        <v>-</v>
      </c>
      <c r="J23" s="497"/>
      <c r="K23" s="30">
        <f>VLOOKUP(C23,'Sales Master'!B$3:BB$530,53,0)</f>
        <v>10</v>
      </c>
      <c r="L23" s="64">
        <f t="shared" ref="L23" si="3">K23*G23</f>
        <v>10</v>
      </c>
      <c r="M23" s="65"/>
      <c r="N23" s="145">
        <f>VLOOKUP(C23,'Sales Master'!$B$3:$DA$2272,104,0)</f>
        <v>7.6</v>
      </c>
      <c r="O23" s="145">
        <f t="shared" ref="O23" si="4">K23-N23</f>
        <v>2.4000000000000004</v>
      </c>
      <c r="P23" s="145">
        <f t="shared" ref="P23" si="5">O23*G23</f>
        <v>2.4000000000000004</v>
      </c>
    </row>
    <row r="24" spans="2:16" ht="20.149999999999999" customHeight="1" x14ac:dyDescent="0.45">
      <c r="B24" s="29"/>
      <c r="C24" s="212" t="s">
        <v>880</v>
      </c>
      <c r="D24" s="461" t="str">
        <f>VLOOKUP(C24,'Sales Master'!B$3:D$530,2,)</f>
        <v>Dried Longan 龙眼干</v>
      </c>
      <c r="E24" s="461"/>
      <c r="F24" s="461"/>
      <c r="G24" s="76">
        <v>1</v>
      </c>
      <c r="H24" s="85" t="str">
        <f>VLOOKUP(C24,'Sales Master'!$B$3:$F$2481,5,0)</f>
        <v>1 kg</v>
      </c>
      <c r="I24" s="497" t="str">
        <f>VLOOKUP(C24,'Sales Master'!$B$3:$E$2481,4,0)</f>
        <v>TL</v>
      </c>
      <c r="J24" s="497"/>
      <c r="K24" s="30">
        <f>VLOOKUP(C24,'Sales Master'!B$3:BB$530,53,0)</f>
        <v>12</v>
      </c>
      <c r="L24" s="64">
        <f>K24*G24</f>
        <v>12</v>
      </c>
      <c r="M24" s="65"/>
      <c r="N24" s="145">
        <f>VLOOKUP(C24,'Sales Master'!$B$3:$DA$2272,104,0)</f>
        <v>8.8000000000000007</v>
      </c>
      <c r="O24" s="145">
        <f>K24-N24</f>
        <v>3.1999999999999993</v>
      </c>
      <c r="P24" s="145">
        <f>O24*G24</f>
        <v>3.1999999999999993</v>
      </c>
    </row>
    <row r="25" spans="2:16" ht="20.149999999999999" customHeight="1" x14ac:dyDescent="0.45">
      <c r="B25" s="29"/>
      <c r="C25" s="212" t="s">
        <v>953</v>
      </c>
      <c r="D25" s="461" t="str">
        <f>VLOOKUP(C25,'Sales Master'!B$3:D$530,2,)</f>
        <v>Aloe Vera 芦荟 10mm</v>
      </c>
      <c r="E25" s="461"/>
      <c r="F25" s="461"/>
      <c r="G25" s="76">
        <v>1</v>
      </c>
      <c r="H25" s="85" t="str">
        <f>VLOOKUP(C25,'Sales Master'!$B$3:$F$2481,5,0)</f>
        <v>1 Can X A10</v>
      </c>
      <c r="I25" s="497" t="str">
        <f>VLOOKUP(C25,'Sales Master'!$B$3:$E$2481,4,0)</f>
        <v>Chefs</v>
      </c>
      <c r="J25" s="497"/>
      <c r="K25" s="30">
        <f>VLOOKUP(C25,'Sales Master'!B$3:BB$530,53,0)</f>
        <v>10</v>
      </c>
      <c r="L25" s="64">
        <f>K25*G25</f>
        <v>10</v>
      </c>
      <c r="M25" s="65"/>
      <c r="N25" s="145">
        <f>VLOOKUP(C25,'Sales Master'!$B$3:$DA$2272,104,0)</f>
        <v>7</v>
      </c>
      <c r="O25" s="145">
        <f>K25-N25</f>
        <v>3</v>
      </c>
      <c r="P25" s="145">
        <f>O25*G25</f>
        <v>3</v>
      </c>
    </row>
    <row r="26" spans="2:16" ht="19.5" customHeight="1" x14ac:dyDescent="0.45">
      <c r="B26" s="29"/>
      <c r="C26" s="212" t="s">
        <v>990</v>
      </c>
      <c r="D26" s="461" t="str">
        <f>VLOOKUP(C26,'Sales Master'!B$3:D$530,2,)</f>
        <v>Coconut Milk 椰浆</v>
      </c>
      <c r="E26" s="461"/>
      <c r="F26" s="461"/>
      <c r="G26" s="76">
        <v>2</v>
      </c>
      <c r="H26" s="85" t="str">
        <f>VLOOKUP(C26,'Sales Master'!$B$3:$F$2481,5,0)</f>
        <v>(1L x 12bag)/箱</v>
      </c>
      <c r="I26" s="497" t="str">
        <f>VLOOKUP(C26,'Sales Master'!$B$3:$E$2481,4,0)</f>
        <v>Kara UHT</v>
      </c>
      <c r="J26" s="497"/>
      <c r="K26" s="30">
        <f>VLOOKUP(C26,'Sales Master'!B$3:BB$530,53,0)</f>
        <v>42</v>
      </c>
      <c r="L26" s="64">
        <f t="shared" ref="L26" si="6">K26*G26</f>
        <v>84</v>
      </c>
      <c r="M26" s="65"/>
      <c r="N26" s="145">
        <f>VLOOKUP(C26,'Sales Master'!$B$3:$DA$2272,104,0)</f>
        <v>35.799999999999997</v>
      </c>
      <c r="O26" s="145">
        <f t="shared" ref="O26" si="7">K26-N26</f>
        <v>6.2000000000000028</v>
      </c>
      <c r="P26" s="145">
        <f t="shared" ref="P26" si="8">O26*G26</f>
        <v>12.400000000000006</v>
      </c>
    </row>
    <row r="27" spans="2:16" ht="20.149999999999999" customHeight="1" x14ac:dyDescent="0.45">
      <c r="B27" s="29"/>
      <c r="C27" s="212" t="s">
        <v>1155</v>
      </c>
      <c r="D27" s="461" t="str">
        <f>VLOOKUP(C27,'Sales Master'!B$3:D$530,2,)</f>
        <v>Nata 椰果芊 10 x 10MM</v>
      </c>
      <c r="E27" s="461"/>
      <c r="F27" s="461"/>
      <c r="G27" s="76">
        <v>1</v>
      </c>
      <c r="H27" s="85" t="str">
        <f>VLOOKUP(C27,'Sales Master'!$B$3:$F$2481,5,0)</f>
        <v>1 Can X A10</v>
      </c>
      <c r="I27" s="497" t="str">
        <f>VLOOKUP(C27,'Sales Master'!$B$3:$E$2481,4,0)</f>
        <v>Golden boy</v>
      </c>
      <c r="J27" s="497"/>
      <c r="K27" s="30">
        <f>VLOOKUP(C27,'Sales Master'!B$3:BB$530,53,0)</f>
        <v>9.5</v>
      </c>
      <c r="L27" s="64">
        <f t="shared" ref="L27:L30" si="9">K27*G27</f>
        <v>9.5</v>
      </c>
      <c r="M27" s="65"/>
      <c r="N27" s="145">
        <f>VLOOKUP(C27,'Sales Master'!$B$3:$DA$2272,104,0)</f>
        <v>8</v>
      </c>
      <c r="O27" s="145">
        <f t="shared" ref="O27:O30" si="10">K27-N27</f>
        <v>1.5</v>
      </c>
      <c r="P27" s="145">
        <f t="shared" ref="P27:P30" si="11">O27*G27</f>
        <v>1.5</v>
      </c>
    </row>
    <row r="28" spans="2:16" ht="20.149999999999999" customHeight="1" x14ac:dyDescent="0.45">
      <c r="B28" s="66"/>
      <c r="C28" s="212" t="s">
        <v>1033</v>
      </c>
      <c r="D28" s="461" t="str">
        <f>VLOOKUP(C28,'Sales Master'!B$3:D$530,2,)</f>
        <v>Pandan Leaf 班兰叶</v>
      </c>
      <c r="E28" s="461"/>
      <c r="F28" s="461"/>
      <c r="G28" s="76">
        <v>2</v>
      </c>
      <c r="H28" s="85" t="str">
        <f>VLOOKUP(C28,'Sales Master'!$B$3:$F$2481,5,0)</f>
        <v>1 KG</v>
      </c>
      <c r="I28" s="497" t="str">
        <f>VLOOKUP(C28,'Sales Master'!$B$3:$E$2481,4,0)</f>
        <v>-</v>
      </c>
      <c r="J28" s="497"/>
      <c r="K28" s="30">
        <f>VLOOKUP(C28,'Sales Master'!B$3:BB$530,53,0)</f>
        <v>1.8</v>
      </c>
      <c r="L28" s="64">
        <f t="shared" si="9"/>
        <v>3.6</v>
      </c>
      <c r="M28" s="65"/>
      <c r="N28" s="145">
        <f>VLOOKUP(C28,'Sales Master'!$B$3:$DA$2272,104,0)</f>
        <v>1.1000000000000001</v>
      </c>
      <c r="O28" s="145">
        <f t="shared" si="10"/>
        <v>0.7</v>
      </c>
      <c r="P28" s="145">
        <f t="shared" si="11"/>
        <v>1.4</v>
      </c>
    </row>
    <row r="29" spans="2:16" ht="20.149999999999999" customHeight="1" x14ac:dyDescent="0.45">
      <c r="B29" s="29"/>
      <c r="C29" s="212" t="s">
        <v>1041</v>
      </c>
      <c r="D29" s="492" t="str">
        <f>VLOOKUP(C29,'Sales Master'!B$3:D$530,2,)</f>
        <v>Food Coloring - Liquid 颜色水</v>
      </c>
      <c r="E29" s="492"/>
      <c r="F29" s="492"/>
      <c r="G29" s="76">
        <v>1</v>
      </c>
      <c r="H29" s="85" t="str">
        <f>VLOOKUP(C29,'Sales Master'!$B$3:$F$2481,5,0)</f>
        <v>500 ML/ Btl支</v>
      </c>
      <c r="I29" s="497" t="str">
        <f>VLOOKUP(C29,'Sales Master'!$B$3:$E$2481,4,0)</f>
        <v>Red/红</v>
      </c>
      <c r="J29" s="497"/>
      <c r="K29" s="30">
        <f>VLOOKUP(C29,'Sales Master'!B$3:BB$530,53,0)</f>
        <v>2.5</v>
      </c>
      <c r="L29" s="64">
        <f t="shared" si="9"/>
        <v>2.5</v>
      </c>
      <c r="M29" s="65"/>
      <c r="N29" s="145">
        <f>VLOOKUP(C29,'Sales Master'!$B$3:$DA$2272,104,0)</f>
        <v>1.8399999999999999</v>
      </c>
      <c r="O29" s="145">
        <f t="shared" si="10"/>
        <v>0.66000000000000014</v>
      </c>
      <c r="P29" s="145">
        <f t="shared" si="11"/>
        <v>0.66000000000000014</v>
      </c>
    </row>
    <row r="30" spans="2:16" ht="20.149999999999999" customHeight="1" x14ac:dyDescent="0.45">
      <c r="B30" s="29"/>
      <c r="C30" s="212" t="s">
        <v>1042</v>
      </c>
      <c r="D30" s="492" t="str">
        <f>VLOOKUP(C30,'Sales Master'!B$3:D$530,2,)</f>
        <v>Food Coloring - Liquid 颜色水</v>
      </c>
      <c r="E30" s="492"/>
      <c r="F30" s="492"/>
      <c r="G30" s="76">
        <v>1</v>
      </c>
      <c r="H30" s="85" t="str">
        <f>VLOOKUP(C30,'Sales Master'!$B$3:$F$2481,5,0)</f>
        <v>500 ML/ Btl支</v>
      </c>
      <c r="I30" s="497" t="str">
        <f>VLOOKUP(C30,'Sales Master'!$B$3:$E$2481,4,0)</f>
        <v>Green/青</v>
      </c>
      <c r="J30" s="497"/>
      <c r="K30" s="30">
        <f>VLOOKUP(C30,'Sales Master'!B$3:BB$530,53,0)</f>
        <v>2.5</v>
      </c>
      <c r="L30" s="64">
        <f t="shared" si="9"/>
        <v>2.5</v>
      </c>
      <c r="M30" s="65"/>
      <c r="N30" s="145">
        <f>VLOOKUP(C30,'Sales Master'!$B$3:$DA$2272,104,0)</f>
        <v>1.8399999999999999</v>
      </c>
      <c r="O30" s="145">
        <f t="shared" si="10"/>
        <v>0.66000000000000014</v>
      </c>
      <c r="P30" s="145">
        <f t="shared" si="11"/>
        <v>0.66000000000000014</v>
      </c>
    </row>
    <row r="31" spans="2:16" ht="20.149999999999999" customHeight="1" x14ac:dyDescent="0.45">
      <c r="B31" s="29"/>
      <c r="C31" s="17"/>
      <c r="G31" s="76"/>
      <c r="H31" s="85"/>
      <c r="I31" s="208"/>
      <c r="J31" s="208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G32" s="76"/>
      <c r="H32" s="85"/>
      <c r="I32" s="208"/>
      <c r="J32" s="208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49" t="s">
        <v>2317</v>
      </c>
      <c r="D33" s="403"/>
      <c r="E33" s="403"/>
      <c r="F33" s="403"/>
      <c r="G33" s="76"/>
      <c r="H33" s="186"/>
      <c r="I33" s="497"/>
      <c r="J33" s="497"/>
      <c r="K33" s="19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212" t="s">
        <v>990</v>
      </c>
      <c r="D34" s="501" t="str">
        <f>VLOOKUP(C34,'[3]Sales Master'!B$3:D$663,2,0)</f>
        <v>Coconut Milk 椰浆</v>
      </c>
      <c r="E34" s="501"/>
      <c r="F34" s="501"/>
      <c r="G34" s="17">
        <v>1</v>
      </c>
      <c r="H34" s="186" t="str">
        <f>VLOOKUP(C34,'[3]Sales Master'!B$3:F$955,5,0)</f>
        <v>(1L x 12bag)/箱</v>
      </c>
      <c r="I34" s="497" t="str">
        <f>VLOOKUP(C34,'[3]Sales Master'!B$3:E$955,4,0)</f>
        <v>Kara UHT</v>
      </c>
      <c r="J34" s="497"/>
      <c r="K34" s="190">
        <v>48</v>
      </c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90"/>
      <c r="E35" s="490"/>
      <c r="F35" s="490"/>
      <c r="G35" s="33"/>
      <c r="H35" s="57"/>
      <c r="I35" s="524"/>
      <c r="J35" s="524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72"/>
      <c r="J37" s="455" t="s">
        <v>13</v>
      </c>
      <c r="K37" s="456"/>
      <c r="L37" s="38">
        <f>SUM(L17:L36)</f>
        <v>226.1</v>
      </c>
      <c r="M37" s="63">
        <f>SUM(P18:P36)-L37*0.02</f>
        <v>51.648000000000003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72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72"/>
      <c r="J39" s="457" t="s">
        <v>19</v>
      </c>
      <c r="K39" s="458"/>
      <c r="L39" s="41">
        <f>L37-L38</f>
        <v>226.1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72"/>
      <c r="J40" s="102" t="s">
        <v>15</v>
      </c>
      <c r="K40" s="103">
        <f>'Sales Master'!$B$1</f>
        <v>0.09</v>
      </c>
      <c r="L40" s="42">
        <f>L39*K40</f>
        <v>20.349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72"/>
      <c r="J41" s="459" t="s">
        <v>21</v>
      </c>
      <c r="K41" s="460"/>
      <c r="L41" s="43">
        <f>L39+L40</f>
        <v>246.44899999999998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72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73"/>
      <c r="K47" s="45"/>
      <c r="L47" s="46"/>
    </row>
    <row r="48" spans="2:16" ht="20.149999999999999" customHeight="1" x14ac:dyDescent="0.45">
      <c r="B48" s="36" t="s">
        <v>25</v>
      </c>
      <c r="J48" s="67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74"/>
      <c r="J49" s="74"/>
      <c r="K49" s="48"/>
      <c r="L49" s="49"/>
    </row>
  </sheetData>
  <mergeCells count="49">
    <mergeCell ref="D29:F29"/>
    <mergeCell ref="I21:J21"/>
    <mergeCell ref="I29:J29"/>
    <mergeCell ref="D23:F23"/>
    <mergeCell ref="I23:J23"/>
    <mergeCell ref="D28:F28"/>
    <mergeCell ref="I28:J28"/>
    <mergeCell ref="D21:F21"/>
    <mergeCell ref="D26:F26"/>
    <mergeCell ref="I26:J26"/>
    <mergeCell ref="J41:K41"/>
    <mergeCell ref="D35:F35"/>
    <mergeCell ref="I35:J35"/>
    <mergeCell ref="D30:F30"/>
    <mergeCell ref="I30:J30"/>
    <mergeCell ref="J39:K39"/>
    <mergeCell ref="J37:K37"/>
    <mergeCell ref="I33:J33"/>
    <mergeCell ref="D34:F34"/>
    <mergeCell ref="I34:J34"/>
    <mergeCell ref="I18:J18"/>
    <mergeCell ref="D25:F25"/>
    <mergeCell ref="D27:F27"/>
    <mergeCell ref="D22:F22"/>
    <mergeCell ref="D20:F20"/>
    <mergeCell ref="D18:F18"/>
    <mergeCell ref="I25:J25"/>
    <mergeCell ref="I27:J27"/>
    <mergeCell ref="I22:J22"/>
    <mergeCell ref="I20:J20"/>
    <mergeCell ref="D24:F24"/>
    <mergeCell ref="I24:J24"/>
    <mergeCell ref="D19:F19"/>
    <mergeCell ref="I19:J19"/>
    <mergeCell ref="B1:L8"/>
    <mergeCell ref="D17:F17"/>
    <mergeCell ref="I17:J17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5:D15"/>
    <mergeCell ref="B12:D12"/>
    <mergeCell ref="K15:L15"/>
  </mergeCells>
  <conditionalFormatting sqref="C33">
    <cfRule type="duplicateValues" dxfId="210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59"/>
  <sheetViews>
    <sheetView topLeftCell="A34" zoomScaleNormal="100" workbookViewId="0">
      <selection activeCell="C39" sqref="C39:K4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81640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2" width="12.54296875" style="19" customWidth="1"/>
    <col min="13" max="16384" width="12.54296875" style="19"/>
  </cols>
  <sheetData>
    <row r="1" spans="2:16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6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6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6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6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N5" s="19" t="s">
        <v>1532</v>
      </c>
    </row>
    <row r="6" spans="2:16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N6" s="19" t="s">
        <v>1524</v>
      </c>
    </row>
    <row r="7" spans="2:16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6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169</v>
      </c>
      <c r="J10" s="24" t="s">
        <v>27</v>
      </c>
      <c r="K10" s="493">
        <v>202501127</v>
      </c>
      <c r="L10" s="494"/>
    </row>
    <row r="11" spans="2:16" ht="20.149999999999999" customHeight="1" x14ac:dyDescent="0.45">
      <c r="B11" s="477" t="s">
        <v>1519</v>
      </c>
      <c r="C11" s="478"/>
      <c r="D11" s="479"/>
      <c r="E11" s="25"/>
      <c r="F11" s="480" t="str">
        <f>VLOOKUP(H10,'Delivery Location'!A$4:N$460,2,0)</f>
        <v>FOOD DYNASTY PTE LTD                                      101 THOMSON ROAD #B1-56                      UNITED SQUARE SINGAPORE 307591</v>
      </c>
      <c r="G11" s="481"/>
      <c r="H11" s="482"/>
      <c r="J11" s="26" t="s">
        <v>9</v>
      </c>
      <c r="K11" s="486">
        <v>45663</v>
      </c>
      <c r="L11" s="487"/>
      <c r="N11" s="529" t="s">
        <v>1100</v>
      </c>
      <c r="O11" s="529"/>
      <c r="P11" s="529"/>
    </row>
    <row r="12" spans="2:16" ht="20.149999999999999" customHeight="1" x14ac:dyDescent="0.45">
      <c r="B12" s="488" t="s">
        <v>1520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6" ht="20.149999999999999" customHeight="1" x14ac:dyDescent="0.45">
      <c r="B13" s="488" t="s">
        <v>1521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6" ht="20.149999999999999" customHeight="1" x14ac:dyDescent="0.45">
      <c r="B14" s="488" t="s">
        <v>1522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6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248"/>
      <c r="L15" s="249"/>
    </row>
    <row r="16" spans="2:16" ht="19" thickBot="1" x14ac:dyDescent="0.5">
      <c r="J16" s="17"/>
      <c r="K16" s="19" t="s">
        <v>460</v>
      </c>
    </row>
    <row r="17" spans="2:22" ht="30" customHeight="1" thickBot="1" x14ac:dyDescent="0.5">
      <c r="B17" s="109" t="s">
        <v>2</v>
      </c>
      <c r="C17" s="110" t="s">
        <v>3</v>
      </c>
      <c r="D17" s="528" t="s">
        <v>4</v>
      </c>
      <c r="E17" s="528"/>
      <c r="F17" s="528"/>
      <c r="G17" s="112" t="s">
        <v>405</v>
      </c>
      <c r="H17" s="110" t="s">
        <v>29</v>
      </c>
      <c r="I17" s="528" t="s">
        <v>53</v>
      </c>
      <c r="J17" s="528"/>
      <c r="K17" s="110" t="s">
        <v>5</v>
      </c>
      <c r="L17" s="111" t="s">
        <v>6</v>
      </c>
      <c r="M17" s="28"/>
      <c r="N17" s="182" t="s">
        <v>1250</v>
      </c>
      <c r="O17" s="182" t="s">
        <v>1252</v>
      </c>
      <c r="P17" s="182" t="s">
        <v>1253</v>
      </c>
      <c r="R17" s="19">
        <v>1</v>
      </c>
      <c r="S17" s="19" t="s">
        <v>330</v>
      </c>
      <c r="T17" s="19" t="s">
        <v>56</v>
      </c>
      <c r="V17" s="19">
        <v>30</v>
      </c>
    </row>
    <row r="18" spans="2:22" ht="20.149999999999999" customHeight="1" x14ac:dyDescent="0.45">
      <c r="B18" s="185"/>
      <c r="C18" s="244" t="s">
        <v>737</v>
      </c>
      <c r="D18" s="461" t="str">
        <f>VLOOKUP(C18,'Sales Master'!B$3:D$530,2,)</f>
        <v>Chendol 浆咯</v>
      </c>
      <c r="E18" s="461"/>
      <c r="F18" s="461"/>
      <c r="G18" s="76">
        <v>1</v>
      </c>
      <c r="H18" s="183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VLOOKUP($C18,'Sales Master'!$B$4:$AK$4024,36,0)</f>
        <v>7</v>
      </c>
      <c r="L18" s="84">
        <f t="shared" ref="L18" si="0">K18*G18</f>
        <v>7</v>
      </c>
      <c r="M18" s="65"/>
      <c r="N18" s="145">
        <f>VLOOKUP(C18,'Sales Master'!$B$3:$DA$2272,104,0)</f>
        <v>2.44</v>
      </c>
      <c r="O18" s="145">
        <f t="shared" ref="O18" si="1">K18-N18</f>
        <v>4.5600000000000005</v>
      </c>
      <c r="P18" s="145">
        <f t="shared" ref="P18" si="2">O18*G18</f>
        <v>4.5600000000000005</v>
      </c>
      <c r="R18" s="63">
        <f>N18*G18*0.07</f>
        <v>0.17080000000000001</v>
      </c>
      <c r="S18" s="63">
        <f>N18*G18*0.08</f>
        <v>0.19520000000000001</v>
      </c>
    </row>
    <row r="19" spans="2:22" ht="20" customHeight="1" x14ac:dyDescent="0.45">
      <c r="B19" s="29"/>
      <c r="C19" s="244" t="s">
        <v>736</v>
      </c>
      <c r="D19" s="461" t="str">
        <f>VLOOKUP(C19,'Sales Master'!B$3:D$530,2,)</f>
        <v>Bobo ChaCha Cubes 摩摩喳喳</v>
      </c>
      <c r="E19" s="461"/>
      <c r="F19" s="461"/>
      <c r="G19" s="76">
        <v>2</v>
      </c>
      <c r="H19" s="183" t="str">
        <f>VLOOKUP(C19,'Sales Master'!$B$3:$F$2413,5,0)</f>
        <v>800 GM/ Bag包</v>
      </c>
      <c r="I19" s="462" t="str">
        <f>VLOOKUP(C19,'Sales Master'!$B$3:$E$2413,4,0)</f>
        <v>DO!</v>
      </c>
      <c r="J19" s="462"/>
      <c r="K19" s="83">
        <f>VLOOKUP($C19,'Sales Master'!$B$4:$AK$4024,36,0)</f>
        <v>7</v>
      </c>
      <c r="L19" s="84">
        <f>K19*G19</f>
        <v>14</v>
      </c>
      <c r="M19" s="65"/>
      <c r="N19" s="145">
        <f>VLOOKUP(C19,'Sales Master'!$B$3:$DA$2272,104,0)</f>
        <v>0.89</v>
      </c>
      <c r="O19" s="145">
        <f>K19-N19</f>
        <v>6.11</v>
      </c>
      <c r="P19" s="145">
        <f>O19*G19</f>
        <v>12.22</v>
      </c>
    </row>
    <row r="20" spans="2:22" ht="20" customHeight="1" x14ac:dyDescent="0.45">
      <c r="B20" s="29"/>
      <c r="C20" s="244" t="s">
        <v>741</v>
      </c>
      <c r="D20" s="461" t="str">
        <f>VLOOKUP(C20,'Sales Master'!B$3:D$530,2,)</f>
        <v>Pong Thai Hai (Wet) 碰大海(湿)</v>
      </c>
      <c r="E20" s="461"/>
      <c r="F20" s="461"/>
      <c r="G20" s="76">
        <v>1</v>
      </c>
      <c r="H20" s="183" t="str">
        <f>VLOOKUP(C20,'Sales Master'!$B$3:$F$2413,5,0)</f>
        <v>1 KG/ Pkt包</v>
      </c>
      <c r="I20" s="462" t="str">
        <f>VLOOKUP(C20,'Sales Master'!$B$3:$E$2413,4,0)</f>
        <v>DO!</v>
      </c>
      <c r="J20" s="462"/>
      <c r="K20" s="83">
        <f>VLOOKUP($C20,'Sales Master'!$B$4:$AK$4024,36,0)</f>
        <v>12</v>
      </c>
      <c r="L20" s="84">
        <f>K20*G20</f>
        <v>12</v>
      </c>
      <c r="M20" s="65"/>
      <c r="N20" s="145">
        <f>VLOOKUP(C20,'Sales Master'!$B$3:$DA$2272,104,0)</f>
        <v>0.9</v>
      </c>
      <c r="O20" s="145">
        <f>K20-N20</f>
        <v>11.1</v>
      </c>
      <c r="P20" s="145">
        <f>O20*G20</f>
        <v>11.1</v>
      </c>
    </row>
    <row r="21" spans="2:22" ht="20" customHeight="1" x14ac:dyDescent="0.45">
      <c r="B21" s="29"/>
      <c r="C21" s="244" t="s">
        <v>1524</v>
      </c>
      <c r="D21" s="525" t="str">
        <f>VLOOKUP(C21,'Sales Master'!B$3:D$530,2,)</f>
        <v>Split Green Mung Bean (Steamed)  豆爽 (蒸)</v>
      </c>
      <c r="E21" s="525"/>
      <c r="F21" s="525"/>
      <c r="G21" s="76">
        <v>6</v>
      </c>
      <c r="H21" s="183" t="str">
        <f>VLOOKUP(C21,'Sales Master'!$B$3:$F$2413,5,0)</f>
        <v>1 KG</v>
      </c>
      <c r="I21" s="462" t="str">
        <f>VLOOKUP(C21,'Sales Master'!$B$3:$E$2413,4,0)</f>
        <v>DO!</v>
      </c>
      <c r="J21" s="462"/>
      <c r="K21" s="83">
        <f>VLOOKUP($C21,'Sales Master'!$B$4:$AK$4024,36,0)</f>
        <v>4.8</v>
      </c>
      <c r="L21" s="84">
        <f t="shared" ref="L21:L35" si="3">K21*G21</f>
        <v>28.799999999999997</v>
      </c>
      <c r="M21" s="65"/>
      <c r="N21" s="145">
        <f>VLOOKUP(C21,'Sales Master'!$B$3:$DA$2272,104,0)</f>
        <v>1.93</v>
      </c>
      <c r="O21" s="145">
        <f t="shared" ref="O21:O35" si="4">K21-N21</f>
        <v>2.87</v>
      </c>
      <c r="P21" s="145">
        <f t="shared" ref="P21:P35" si="5">O21*G21</f>
        <v>17.22</v>
      </c>
    </row>
    <row r="22" spans="2:22" ht="20" customHeight="1" x14ac:dyDescent="0.45">
      <c r="B22" s="29"/>
      <c r="C22" s="244" t="s">
        <v>829</v>
      </c>
      <c r="D22" s="461" t="str">
        <f>VLOOKUP(C22,'Sales Master'!B$3:D$530,2,)</f>
        <v>Atap Seeds in Syrup 亚嗒子</v>
      </c>
      <c r="E22" s="461"/>
      <c r="F22" s="461"/>
      <c r="G22" s="76">
        <v>1</v>
      </c>
      <c r="H22" s="183" t="str">
        <f>VLOOKUP(C22,'Sales Master'!$B$3:$F$2413,5,0)</f>
        <v>NW(1.6:0.6) 2.2kg/ Bag包</v>
      </c>
      <c r="I22" s="462" t="str">
        <f>VLOOKUP(C22,'Sales Master'!$B$3:$E$2413,4,0)</f>
        <v>DO!</v>
      </c>
      <c r="J22" s="462"/>
      <c r="K22" s="83">
        <f>VLOOKUP($C22,'Sales Master'!$B$4:$AK$4024,36,0)</f>
        <v>12</v>
      </c>
      <c r="L22" s="84">
        <f>K22*G22</f>
        <v>12</v>
      </c>
      <c r="M22" s="65"/>
      <c r="N22" s="145">
        <f>VLOOKUP(C22,'Sales Master'!$B$3:$DA$2272,104,0)</f>
        <v>7.3</v>
      </c>
      <c r="O22" s="145">
        <f>K22-N22</f>
        <v>4.7</v>
      </c>
      <c r="P22" s="145">
        <f>O22*G22</f>
        <v>4.7</v>
      </c>
    </row>
    <row r="23" spans="2:22" ht="20" customHeight="1" x14ac:dyDescent="0.45">
      <c r="B23" s="29"/>
      <c r="C23" s="244" t="s">
        <v>834</v>
      </c>
      <c r="D23" s="461" t="str">
        <f>VLOOKUP(C23,'Sales Master'!B$3:D$530,2,)</f>
        <v>GingKo Nut (Peel off) 白果仁</v>
      </c>
      <c r="E23" s="461"/>
      <c r="F23" s="461"/>
      <c r="G23" s="76">
        <v>1</v>
      </c>
      <c r="H23" s="183" t="str">
        <f>VLOOKUP(C23,'Sales Master'!$B$3:$F$2413,5,0)</f>
        <v>1 KG (500 GM X 2)</v>
      </c>
      <c r="I23" s="462" t="str">
        <f>VLOOKUP(C23,'Sales Master'!$B$3:$E$2413,4,0)</f>
        <v>-</v>
      </c>
      <c r="J23" s="462"/>
      <c r="K23" s="83">
        <f>VLOOKUP($C23,'Sales Master'!$B$4:$AK$4024,36,0)</f>
        <v>4.5</v>
      </c>
      <c r="L23" s="84">
        <f>K23*G23</f>
        <v>4.5</v>
      </c>
      <c r="M23" s="65"/>
      <c r="N23" s="145">
        <f>VLOOKUP(C23,'Sales Master'!$B$3:$DA$2272,104,0)</f>
        <v>3</v>
      </c>
      <c r="O23" s="145">
        <f>K23-N23</f>
        <v>1.5</v>
      </c>
      <c r="P23" s="145">
        <f>O23*G23</f>
        <v>1.5</v>
      </c>
    </row>
    <row r="24" spans="2:22" ht="20" customHeight="1" x14ac:dyDescent="0.45">
      <c r="B24" s="29"/>
      <c r="C24" s="244" t="s">
        <v>841</v>
      </c>
      <c r="D24" s="461" t="str">
        <f>VLOOKUP(C24,'Sales Master'!B$3:D$530,2,)</f>
        <v>Small Red Bean 小红豆</v>
      </c>
      <c r="E24" s="461"/>
      <c r="F24" s="461"/>
      <c r="G24" s="76">
        <v>1</v>
      </c>
      <c r="H24" s="183" t="str">
        <f>VLOOKUP(C24,'Sales Master'!$B$3:$F$2413,5,0)</f>
        <v>5 KG</v>
      </c>
      <c r="I24" s="462" t="str">
        <f>VLOOKUP(C24,'Sales Master'!$B$3:$E$2413,4,0)</f>
        <v>-</v>
      </c>
      <c r="J24" s="462"/>
      <c r="K24" s="83">
        <f>VLOOKUP($C24,'Sales Master'!$B$4:$AK$4024,36,0)</f>
        <v>18</v>
      </c>
      <c r="L24" s="84">
        <f t="shared" si="3"/>
        <v>18</v>
      </c>
      <c r="M24" s="65"/>
      <c r="N24" s="145">
        <f>VLOOKUP(C24,'Sales Master'!$B$3:$DA$2272,104,0)</f>
        <v>12.75</v>
      </c>
      <c r="O24" s="145">
        <f t="shared" si="4"/>
        <v>5.25</v>
      </c>
      <c r="P24" s="145">
        <f t="shared" si="5"/>
        <v>5.25</v>
      </c>
    </row>
    <row r="25" spans="2:22" ht="20" customHeight="1" x14ac:dyDescent="0.45">
      <c r="B25" s="29"/>
      <c r="C25" s="244" t="s">
        <v>849</v>
      </c>
      <c r="D25" s="461" t="str">
        <f>VLOOKUP(C25,'Sales Master'!B$3:D$530,2,)</f>
        <v>Green Bean 绿豆</v>
      </c>
      <c r="E25" s="461"/>
      <c r="F25" s="461"/>
      <c r="G25" s="76">
        <v>1</v>
      </c>
      <c r="H25" s="183" t="str">
        <f>VLOOKUP(C25,'Sales Master'!$B$3:$F$2413,5,0)</f>
        <v>5 KG</v>
      </c>
      <c r="I25" s="462" t="str">
        <f>VLOOKUP(C25,'Sales Master'!$B$3:$E$2413,4,0)</f>
        <v>-</v>
      </c>
      <c r="J25" s="462"/>
      <c r="K25" s="83">
        <f>VLOOKUP($C25,'Sales Master'!$B$4:$AK$4024,36,0)</f>
        <v>14</v>
      </c>
      <c r="L25" s="84">
        <f t="shared" si="3"/>
        <v>14</v>
      </c>
      <c r="M25" s="65"/>
      <c r="N25" s="145">
        <f>VLOOKUP(C25,'Sales Master'!$B$3:$DA$2272,104,0)</f>
        <v>8.75</v>
      </c>
      <c r="O25" s="145">
        <f t="shared" si="4"/>
        <v>5.25</v>
      </c>
      <c r="P25" s="145">
        <f t="shared" si="5"/>
        <v>5.25</v>
      </c>
    </row>
    <row r="26" spans="2:22" ht="20" customHeight="1" x14ac:dyDescent="0.45">
      <c r="B26" s="29"/>
      <c r="C26" s="212" t="s">
        <v>861</v>
      </c>
      <c r="D26" s="461" t="str">
        <f>VLOOKUP(C26,'Sales Master'!B$3:D$530,2,)</f>
        <v>Black Glutinous Rice 黑糯米</v>
      </c>
      <c r="E26" s="461"/>
      <c r="F26" s="461"/>
      <c r="G26" s="17">
        <v>1</v>
      </c>
      <c r="H26" s="183" t="str">
        <f>VLOOKUP(C26,'Sales Master'!$B$3:$F$2413,5,0)</f>
        <v>5 KGS</v>
      </c>
      <c r="I26" s="462" t="str">
        <f>VLOOKUP(C26,'Sales Master'!$B$3:$E$2413,4,0)</f>
        <v>-</v>
      </c>
      <c r="J26" s="462"/>
      <c r="K26" s="83">
        <f>VLOOKUP($C26,'Sales Master'!$B$4:$AK$4024,36,0)</f>
        <v>18</v>
      </c>
      <c r="L26" s="84">
        <f>K26*G26</f>
        <v>18</v>
      </c>
      <c r="M26" s="65"/>
      <c r="N26" s="145">
        <f>VLOOKUP(C26,'Sales Master'!$B$3:$DA$2272,104,0)</f>
        <v>12</v>
      </c>
      <c r="O26" s="145">
        <f>K26-N26</f>
        <v>6</v>
      </c>
      <c r="P26" s="145">
        <f>O26*G26</f>
        <v>6</v>
      </c>
    </row>
    <row r="27" spans="2:22" ht="20" customHeight="1" x14ac:dyDescent="0.45">
      <c r="B27" s="29"/>
      <c r="C27" s="212" t="s">
        <v>865</v>
      </c>
      <c r="D27" s="461" t="str">
        <f>VLOOKUP(C27,'Sales Master'!B$3:D$530,2,)</f>
        <v>White Glutinous Rice 白糯米</v>
      </c>
      <c r="E27" s="461"/>
      <c r="F27" s="461"/>
      <c r="G27" s="76">
        <v>1</v>
      </c>
      <c r="H27" s="183" t="str">
        <f>VLOOKUP(C27,'Sales Master'!$B$3:$F$2413,5,0)</f>
        <v>5 KG</v>
      </c>
      <c r="I27" s="462" t="str">
        <f>VLOOKUP(C27,'Sales Master'!$B$3:$E$2413,4,0)</f>
        <v>-</v>
      </c>
      <c r="J27" s="462"/>
      <c r="K27" s="83">
        <f>VLOOKUP($C27,'Sales Master'!$B$4:$AK$4024,36,0)</f>
        <v>11</v>
      </c>
      <c r="L27" s="84">
        <f>K27*G27</f>
        <v>11</v>
      </c>
      <c r="M27" s="65"/>
      <c r="N27" s="145">
        <f>VLOOKUP(C27,'Sales Master'!$B$3:$DA$2272,104,0)</f>
        <v>6</v>
      </c>
      <c r="O27" s="145">
        <f>K27-N27</f>
        <v>5</v>
      </c>
      <c r="P27" s="145">
        <f>O27*G27</f>
        <v>5</v>
      </c>
    </row>
    <row r="28" spans="2:22" ht="20.149999999999999" customHeight="1" x14ac:dyDescent="0.45">
      <c r="B28" s="213"/>
      <c r="C28" s="212" t="s">
        <v>870</v>
      </c>
      <c r="D28" s="461" t="str">
        <f>VLOOKUP(C28,'Sales Master'!B$3:D$530,2,)</f>
        <v>Pearl Barley 薏米</v>
      </c>
      <c r="E28" s="461"/>
      <c r="F28" s="461"/>
      <c r="G28" s="17">
        <v>1</v>
      </c>
      <c r="H28" s="183" t="str">
        <f>VLOOKUP(C28,'Sales Master'!$B$3:$F$2413,5,0)</f>
        <v>5 KG</v>
      </c>
      <c r="I28" s="462" t="str">
        <f>VLOOKUP(C28,'Sales Master'!$B$3:$E$2413,4,0)</f>
        <v>-</v>
      </c>
      <c r="J28" s="462"/>
      <c r="K28" s="83">
        <f>VLOOKUP($C28,'Sales Master'!$B$4:$AK$4024,36,0)</f>
        <v>10.5</v>
      </c>
      <c r="L28" s="84">
        <f>K28*G28</f>
        <v>10.5</v>
      </c>
      <c r="M28" s="65"/>
      <c r="N28" s="145">
        <f>VLOOKUP(C28,'Sales Master'!$B$3:$DA$2272,104,0)</f>
        <v>7.6</v>
      </c>
      <c r="O28" s="145">
        <f>K28-N28</f>
        <v>2.9000000000000004</v>
      </c>
      <c r="P28" s="145">
        <f>O28*G28</f>
        <v>2.9000000000000004</v>
      </c>
      <c r="R28" s="63"/>
      <c r="S28" s="63"/>
    </row>
    <row r="29" spans="2:22" ht="20" customHeight="1" x14ac:dyDescent="0.45">
      <c r="B29" s="29"/>
      <c r="C29" s="257" t="s">
        <v>883</v>
      </c>
      <c r="D29" s="461" t="str">
        <f>VLOOKUP(C29,'Sales Master'!B$3:D$530,2,)</f>
        <v>Dried Longan 龙眼干</v>
      </c>
      <c r="E29" s="461"/>
      <c r="F29" s="461"/>
      <c r="G29" s="76">
        <v>2</v>
      </c>
      <c r="H29" s="183" t="str">
        <f>VLOOKUP(C29,'Sales Master'!$B$3:$F$2413,5,0)</f>
        <v>1 kg</v>
      </c>
      <c r="I29" s="462" t="str">
        <f>VLOOKUP(C29,'Sales Master'!$B$3:$E$2413,4,0)</f>
        <v>中</v>
      </c>
      <c r="J29" s="462"/>
      <c r="K29" s="83">
        <f>VLOOKUP($C29,'Sales Master'!$B$4:$AK$4024,36,0)</f>
        <v>14</v>
      </c>
      <c r="L29" s="84">
        <f>K29*G29</f>
        <v>28</v>
      </c>
      <c r="M29" s="65"/>
      <c r="N29" s="145">
        <f>VLOOKUP(C29,'Sales Master'!$B$3:$DA$2272,104,0)</f>
        <v>9.6999999999999993</v>
      </c>
      <c r="O29" s="145">
        <f>K29-N29</f>
        <v>4.3000000000000007</v>
      </c>
      <c r="P29" s="145">
        <f>O29*G29</f>
        <v>8.6000000000000014</v>
      </c>
    </row>
    <row r="30" spans="2:22" ht="20" customHeight="1" x14ac:dyDescent="0.45">
      <c r="B30" s="29"/>
      <c r="C30" s="244" t="s">
        <v>900</v>
      </c>
      <c r="D30" s="461" t="str">
        <f>VLOOKUP(C30,'Sales Master'!B$3:D$530,2,)</f>
        <v>Bean Curd Sheet 腐竹</v>
      </c>
      <c r="E30" s="461"/>
      <c r="F30" s="461"/>
      <c r="G30" s="76">
        <v>10</v>
      </c>
      <c r="H30" s="183" t="str">
        <f>VLOOKUP(C30,'Sales Master'!$B$3:$F$2413,5,0)</f>
        <v xml:space="preserve">150g/pkt </v>
      </c>
      <c r="I30" s="462" t="str">
        <f>VLOOKUP(C30,'Sales Master'!$B$3:$E$2413,4,0)</f>
        <v>生记</v>
      </c>
      <c r="J30" s="462"/>
      <c r="K30" s="83">
        <f>VLOOKUP($C30,'Sales Master'!$B$4:$AK$4024,36,0)</f>
        <v>3</v>
      </c>
      <c r="L30" s="84">
        <f t="shared" si="3"/>
        <v>30</v>
      </c>
      <c r="M30" s="65"/>
      <c r="N30" s="145">
        <f>VLOOKUP(C30,'Sales Master'!$B$3:$DA$2272,104,0)</f>
        <v>2.5</v>
      </c>
      <c r="O30" s="145">
        <f t="shared" si="4"/>
        <v>0.5</v>
      </c>
      <c r="P30" s="145">
        <f t="shared" si="5"/>
        <v>5</v>
      </c>
    </row>
    <row r="31" spans="2:22" ht="20" customHeight="1" x14ac:dyDescent="0.45">
      <c r="B31" s="29"/>
      <c r="C31" s="212" t="s">
        <v>990</v>
      </c>
      <c r="D31" s="461" t="str">
        <f>VLOOKUP(C31,'Sales Master'!B$3:D$530,2,)</f>
        <v>Coconut Milk 椰浆</v>
      </c>
      <c r="E31" s="461"/>
      <c r="F31" s="461"/>
      <c r="G31" s="17">
        <v>1</v>
      </c>
      <c r="H31" s="183" t="str">
        <f>VLOOKUP(C31,'Sales Master'!$B$3:$F$2413,5,0)</f>
        <v>(1L x 12bag)/箱</v>
      </c>
      <c r="I31" s="462" t="str">
        <f>VLOOKUP(C31,'Sales Master'!$B$3:$E$2413,4,0)</f>
        <v>Kara UHT</v>
      </c>
      <c r="J31" s="462"/>
      <c r="K31" s="83">
        <f>VLOOKUP($C31,'Sales Master'!$B$4:$AK$4024,36,0)</f>
        <v>42</v>
      </c>
      <c r="L31" s="84">
        <f>K31*G31</f>
        <v>42</v>
      </c>
      <c r="M31" s="65"/>
      <c r="N31" s="145">
        <f>VLOOKUP(C31,'Sales Master'!$B$3:$DA$2272,104,0)</f>
        <v>35.799999999999997</v>
      </c>
      <c r="O31" s="145">
        <f>K31-N31</f>
        <v>6.2000000000000028</v>
      </c>
      <c r="P31" s="145">
        <f>O31*G31</f>
        <v>6.2000000000000028</v>
      </c>
    </row>
    <row r="32" spans="2:22" ht="20" customHeight="1" x14ac:dyDescent="0.45">
      <c r="B32" s="29"/>
      <c r="C32" s="212" t="s">
        <v>1279</v>
      </c>
      <c r="D32" s="461" t="str">
        <f>VLOOKUP(C32,'Sales Master'!B$3:D$530,2,)</f>
        <v>Corn Cream 玉米浆</v>
      </c>
      <c r="E32" s="461"/>
      <c r="F32" s="461"/>
      <c r="G32" s="17">
        <v>1</v>
      </c>
      <c r="H32" s="183" t="str">
        <f>VLOOKUP(C32,'Sales Master'!$B$3:$F$2413,5,0)</f>
        <v>24 CAN/ Ctn</v>
      </c>
      <c r="I32" s="462" t="str">
        <f>VLOOKUP(C32,'Sales Master'!$B$3:$E$2413,4,0)</f>
        <v>Golden Boy</v>
      </c>
      <c r="J32" s="462"/>
      <c r="K32" s="83">
        <f>VLOOKUP($C32,'Sales Master'!$B$4:$AK$4024,36,0)</f>
        <v>23</v>
      </c>
      <c r="L32" s="84">
        <f t="shared" ref="L32" si="6">K32*G32</f>
        <v>23</v>
      </c>
      <c r="M32" s="65"/>
      <c r="N32" s="145">
        <f>VLOOKUP(C32,'Sales Master'!$B$3:$DA$2272,104,0)</f>
        <v>16</v>
      </c>
      <c r="O32" s="145">
        <f t="shared" ref="O32" si="7">K32-N32</f>
        <v>7</v>
      </c>
      <c r="P32" s="145">
        <f t="shared" ref="P32" si="8">O32*G32</f>
        <v>7</v>
      </c>
    </row>
    <row r="33" spans="2:22" ht="20" customHeight="1" x14ac:dyDescent="0.45">
      <c r="B33" s="29"/>
      <c r="C33" s="244" t="s">
        <v>1028</v>
      </c>
      <c r="D33" s="461" t="str">
        <f>VLOOKUP(C33,'Sales Master'!B$3:D$530,2,)</f>
        <v>Sweet Potato 番薯</v>
      </c>
      <c r="E33" s="461"/>
      <c r="F33" s="461"/>
      <c r="G33" s="76">
        <v>5</v>
      </c>
      <c r="H33" s="183" t="str">
        <f>VLOOKUP(C33,'Sales Master'!$B$3:$F$2413,5,0)</f>
        <v>1 KG</v>
      </c>
      <c r="I33" s="462" t="str">
        <f>VLOOKUP(C33,'Sales Master'!$B$3:$E$2413,4,0)</f>
        <v>-</v>
      </c>
      <c r="J33" s="462"/>
      <c r="K33" s="83">
        <f>VLOOKUP($C33,'Sales Master'!$B$4:$AK$4024,36,0)</f>
        <v>2.7</v>
      </c>
      <c r="L33" s="84">
        <f t="shared" si="3"/>
        <v>13.5</v>
      </c>
      <c r="M33" s="65"/>
      <c r="N33" s="145">
        <f>VLOOKUP(C33,'Sales Master'!$B$3:$DA$2272,104,0)</f>
        <v>1.675</v>
      </c>
      <c r="O33" s="145">
        <f t="shared" si="4"/>
        <v>1.0250000000000001</v>
      </c>
      <c r="P33" s="145">
        <f t="shared" si="5"/>
        <v>5.1250000000000009</v>
      </c>
    </row>
    <row r="34" spans="2:22" ht="20" customHeight="1" x14ac:dyDescent="0.45">
      <c r="B34" s="29"/>
      <c r="C34" s="257" t="s">
        <v>1030</v>
      </c>
      <c r="D34" s="461" t="str">
        <f>VLOOKUP(C34,'Sales Master'!B$3:D$530,2,)</f>
        <v>Yam 芋头</v>
      </c>
      <c r="E34" s="461"/>
      <c r="F34" s="461"/>
      <c r="G34" s="76">
        <v>2.8</v>
      </c>
      <c r="H34" s="183" t="str">
        <f>VLOOKUP(C34,'Sales Master'!$B$3:$F$2413,5,0)</f>
        <v>1 KG</v>
      </c>
      <c r="I34" s="462" t="str">
        <f>VLOOKUP(C34,'Sales Master'!$B$3:$E$2413,4,0)</f>
        <v>Thailand</v>
      </c>
      <c r="J34" s="462"/>
      <c r="K34" s="83">
        <f>VLOOKUP($C34,'Sales Master'!$B$4:$AK$4024,36,0)</f>
        <v>5.5</v>
      </c>
      <c r="L34" s="84">
        <f t="shared" si="3"/>
        <v>15.399999999999999</v>
      </c>
      <c r="M34" s="65"/>
      <c r="N34" s="145">
        <f>VLOOKUP(C34,'Sales Master'!$B$3:$DA$2272,104,0)</f>
        <v>2.6</v>
      </c>
      <c r="O34" s="145">
        <f t="shared" si="4"/>
        <v>2.9</v>
      </c>
      <c r="P34" s="145">
        <f t="shared" si="5"/>
        <v>8.1199999999999992</v>
      </c>
    </row>
    <row r="35" spans="2:22" ht="20" customHeight="1" x14ac:dyDescent="0.45">
      <c r="B35" s="29"/>
      <c r="C35" s="212" t="s">
        <v>1033</v>
      </c>
      <c r="D35" s="461" t="str">
        <f>VLOOKUP(C35,'Sales Master'!B$3:D$530,2,)</f>
        <v>Pandan Leaf 班兰叶</v>
      </c>
      <c r="E35" s="461"/>
      <c r="F35" s="461"/>
      <c r="G35" s="76">
        <v>3</v>
      </c>
      <c r="H35" s="183" t="str">
        <f>VLOOKUP(C35,'Sales Master'!$B$3:$F$2413,5,0)</f>
        <v>1 KG</v>
      </c>
      <c r="I35" s="462" t="str">
        <f>VLOOKUP(C35,'Sales Master'!$B$3:$E$2413,4,0)</f>
        <v>-</v>
      </c>
      <c r="J35" s="462"/>
      <c r="K35" s="83">
        <f>VLOOKUP($C35,'Sales Master'!$B$4:$AK$4024,36,0)</f>
        <v>2.2000000000000002</v>
      </c>
      <c r="L35" s="84">
        <f t="shared" si="3"/>
        <v>6.6000000000000005</v>
      </c>
      <c r="M35" s="65"/>
      <c r="N35" s="145">
        <f>VLOOKUP(C35,'Sales Master'!$B$3:$DA$2272,104,0)</f>
        <v>1.1000000000000001</v>
      </c>
      <c r="O35" s="145">
        <f t="shared" si="4"/>
        <v>1.1000000000000001</v>
      </c>
      <c r="P35" s="145">
        <f t="shared" si="5"/>
        <v>3.3000000000000003</v>
      </c>
    </row>
    <row r="36" spans="2:22" ht="20" customHeight="1" x14ac:dyDescent="0.45">
      <c r="B36" s="29"/>
      <c r="C36" s="244" t="s">
        <v>1036</v>
      </c>
      <c r="D36" s="461" t="str">
        <f>VLOOKUP(C36,'Sales Master'!B$3:D$530,2,)</f>
        <v>Yu Tiao 油条</v>
      </c>
      <c r="E36" s="461"/>
      <c r="F36" s="461"/>
      <c r="G36" s="76">
        <v>1</v>
      </c>
      <c r="H36" s="183" t="str">
        <f>VLOOKUP(C36,'Sales Master'!$B$3:$F$2413,5,0)</f>
        <v>10 PCS/PKT</v>
      </c>
      <c r="I36" s="462" t="str">
        <f>VLOOKUP(C36,'Sales Master'!$B$3:$E$2413,4,0)</f>
        <v>-</v>
      </c>
      <c r="J36" s="462"/>
      <c r="K36" s="83">
        <f>VLOOKUP($C36,'Sales Master'!$B$4:$AK$4024,36,0)</f>
        <v>6</v>
      </c>
      <c r="L36" s="84">
        <f>K36*G36</f>
        <v>6</v>
      </c>
      <c r="M36" s="65"/>
      <c r="N36" s="145">
        <f>VLOOKUP(C36,'Sales Master'!$B$3:$DA$2272,104,0)</f>
        <v>0.45</v>
      </c>
      <c r="O36" s="145">
        <f>K36-N36</f>
        <v>5.55</v>
      </c>
      <c r="P36" s="145">
        <f>O36*G36</f>
        <v>5.55</v>
      </c>
    </row>
    <row r="37" spans="2:22" ht="20" customHeight="1" x14ac:dyDescent="0.45">
      <c r="B37" s="29"/>
      <c r="C37" s="212"/>
      <c r="G37" s="17"/>
      <c r="H37" s="183"/>
      <c r="I37" s="209"/>
      <c r="J37" s="209"/>
      <c r="K37" s="83"/>
      <c r="L37" s="84"/>
      <c r="M37" s="65"/>
      <c r="N37" s="145"/>
      <c r="O37" s="145"/>
      <c r="P37" s="145"/>
    </row>
    <row r="38" spans="2:22" ht="20" customHeight="1" x14ac:dyDescent="0.45">
      <c r="B38" s="29"/>
      <c r="C38" s="212"/>
      <c r="G38" s="17"/>
      <c r="H38" s="183"/>
      <c r="I38" s="209"/>
      <c r="J38" s="209"/>
      <c r="K38" s="83"/>
      <c r="L38" s="84"/>
      <c r="M38" s="65"/>
      <c r="N38" s="145"/>
      <c r="O38" s="145"/>
      <c r="P38" s="145"/>
    </row>
    <row r="39" spans="2:22" ht="20" customHeight="1" x14ac:dyDescent="0.45">
      <c r="B39" s="29"/>
      <c r="C39" s="149" t="s">
        <v>2317</v>
      </c>
      <c r="D39" s="403"/>
      <c r="E39" s="403"/>
      <c r="F39" s="403"/>
      <c r="G39" s="76"/>
      <c r="H39" s="186"/>
      <c r="I39" s="497"/>
      <c r="J39" s="497"/>
      <c r="K39" s="190"/>
      <c r="L39" s="84"/>
      <c r="M39" s="65"/>
      <c r="N39" s="145"/>
      <c r="O39" s="145"/>
      <c r="P39" s="145"/>
    </row>
    <row r="40" spans="2:22" ht="20" customHeight="1" x14ac:dyDescent="0.45">
      <c r="B40" s="29"/>
      <c r="C40" s="212" t="s">
        <v>990</v>
      </c>
      <c r="D40" s="501" t="str">
        <f>VLOOKUP(C40,'[3]Sales Master'!B$3:D$663,2,0)</f>
        <v>Coconut Milk 椰浆</v>
      </c>
      <c r="E40" s="501"/>
      <c r="F40" s="501"/>
      <c r="G40" s="17">
        <v>1</v>
      </c>
      <c r="H40" s="186" t="str">
        <f>VLOOKUP(C40,'[3]Sales Master'!B$3:F$955,5,0)</f>
        <v>(1L x 12bag)/箱</v>
      </c>
      <c r="I40" s="497" t="str">
        <f>VLOOKUP(C40,'[3]Sales Master'!B$3:E$955,4,0)</f>
        <v>Kara UHT</v>
      </c>
      <c r="J40" s="497"/>
      <c r="K40" s="190">
        <v>48</v>
      </c>
      <c r="L40" s="84"/>
      <c r="M40" s="65"/>
      <c r="N40" s="145"/>
      <c r="O40" s="145"/>
      <c r="P40" s="145"/>
    </row>
    <row r="41" spans="2:22" ht="20" customHeight="1" x14ac:dyDescent="0.45">
      <c r="B41" s="29"/>
      <c r="C41" s="212"/>
      <c r="G41" s="17"/>
      <c r="H41" s="183"/>
      <c r="I41" s="209"/>
      <c r="J41" s="209"/>
      <c r="K41" s="83"/>
      <c r="L41" s="84"/>
      <c r="M41" s="65"/>
      <c r="N41" s="145"/>
      <c r="O41" s="145"/>
      <c r="P41" s="145"/>
    </row>
    <row r="42" spans="2:22" ht="20.149999999999999" customHeight="1" thickBot="1" x14ac:dyDescent="0.5">
      <c r="B42" s="32"/>
      <c r="C42" s="33"/>
      <c r="D42" s="526"/>
      <c r="E42" s="526"/>
      <c r="F42" s="526"/>
      <c r="G42" s="113"/>
      <c r="H42" s="57" t="s">
        <v>1175</v>
      </c>
      <c r="I42" s="527"/>
      <c r="J42" s="527"/>
      <c r="K42" s="114"/>
      <c r="L42" s="115"/>
    </row>
    <row r="43" spans="2:22" ht="20.149999999999999" customHeight="1" thickBot="1" x14ac:dyDescent="0.5">
      <c r="B43" s="36"/>
      <c r="G43" s="65"/>
      <c r="L43" s="37"/>
      <c r="R43" s="19">
        <v>1</v>
      </c>
      <c r="S43" s="19" t="s">
        <v>54</v>
      </c>
      <c r="T43" s="19" t="s">
        <v>347</v>
      </c>
      <c r="V43" s="19">
        <v>6.5</v>
      </c>
    </row>
    <row r="44" spans="2:22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55" t="s">
        <v>13</v>
      </c>
      <c r="K44" s="456"/>
      <c r="L44" s="38">
        <f>SUM(L17:L42)</f>
        <v>314.3</v>
      </c>
      <c r="M44" s="63">
        <f>SUM(P18:P30)</f>
        <v>89.300000000000011</v>
      </c>
      <c r="N44" s="133">
        <f>M44/L44</f>
        <v>0.28412344893413938</v>
      </c>
      <c r="R44" s="19">
        <v>1</v>
      </c>
      <c r="S44" s="19" t="s">
        <v>54</v>
      </c>
      <c r="T44" s="19" t="s">
        <v>421</v>
      </c>
      <c r="V44" s="19">
        <v>6</v>
      </c>
    </row>
    <row r="45" spans="2:22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  <c r="R45" s="19">
        <v>1</v>
      </c>
      <c r="S45" s="19" t="s">
        <v>34</v>
      </c>
      <c r="T45" s="19" t="s">
        <v>32</v>
      </c>
      <c r="V45" s="19">
        <v>6</v>
      </c>
    </row>
    <row r="46" spans="2:22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57" t="s">
        <v>19</v>
      </c>
      <c r="K46" s="458"/>
      <c r="L46" s="41">
        <f>L44-L45</f>
        <v>314.3</v>
      </c>
      <c r="R46" s="19">
        <v>1</v>
      </c>
      <c r="S46" s="19" t="s">
        <v>398</v>
      </c>
      <c r="T46" s="19" t="s">
        <v>348</v>
      </c>
      <c r="V46" s="19">
        <v>13</v>
      </c>
    </row>
    <row r="47" spans="2:22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28.286999999999999</v>
      </c>
      <c r="R47" s="19">
        <v>1</v>
      </c>
      <c r="S47" s="19" t="s">
        <v>34</v>
      </c>
      <c r="T47" s="19" t="s">
        <v>47</v>
      </c>
      <c r="V47" s="19">
        <v>16</v>
      </c>
    </row>
    <row r="48" spans="2:22" ht="20.149999999999999" customHeight="1" thickBot="1" x14ac:dyDescent="0.5">
      <c r="B48" s="10" t="s">
        <v>700</v>
      </c>
      <c r="C48" s="6"/>
      <c r="D48" s="6"/>
      <c r="E48" s="6"/>
      <c r="F48" s="6"/>
      <c r="G48" s="6"/>
      <c r="H48" s="6"/>
      <c r="I48" s="6"/>
      <c r="J48" s="459" t="s">
        <v>21</v>
      </c>
      <c r="K48" s="460"/>
      <c r="L48" s="43">
        <f>L46+L47</f>
        <v>342.58699999999999</v>
      </c>
      <c r="R48" s="19">
        <v>4</v>
      </c>
      <c r="S48" s="19" t="s">
        <v>34</v>
      </c>
      <c r="T48" s="19" t="s">
        <v>47</v>
      </c>
      <c r="V48" s="19">
        <v>13</v>
      </c>
    </row>
    <row r="49" spans="2:2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  <c r="R49" s="19">
        <v>4</v>
      </c>
      <c r="S49" s="19" t="s">
        <v>34</v>
      </c>
      <c r="T49" s="19" t="s">
        <v>47</v>
      </c>
      <c r="V49" s="19">
        <v>13</v>
      </c>
    </row>
    <row r="50" spans="2:22" ht="20.149999999999999" customHeight="1" x14ac:dyDescent="0.45">
      <c r="B50" s="144" t="s">
        <v>690</v>
      </c>
      <c r="L50" s="37"/>
      <c r="R50" s="19">
        <v>1</v>
      </c>
      <c r="S50" s="19" t="s">
        <v>418</v>
      </c>
      <c r="T50" s="19" t="s">
        <v>440</v>
      </c>
      <c r="V50" s="19">
        <v>2.8</v>
      </c>
    </row>
    <row r="51" spans="2:22" ht="20.149999999999999" customHeight="1" x14ac:dyDescent="0.45">
      <c r="B51" s="144"/>
      <c r="L51" s="37"/>
    </row>
    <row r="52" spans="2:22" ht="20.149999999999999" customHeight="1" x14ac:dyDescent="0.45">
      <c r="B52" s="144"/>
      <c r="L52" s="37"/>
    </row>
    <row r="53" spans="2:22" ht="20.149999999999999" customHeight="1" x14ac:dyDescent="0.45">
      <c r="B53" s="36"/>
      <c r="L53" s="37"/>
    </row>
    <row r="54" spans="2:22" ht="20.149999999999999" customHeight="1" x14ac:dyDescent="0.45">
      <c r="B54" s="44"/>
      <c r="C54" s="45"/>
      <c r="D54" s="45"/>
      <c r="J54" s="45"/>
      <c r="K54" s="45"/>
      <c r="L54" s="46"/>
      <c r="R54" s="19">
        <v>20</v>
      </c>
      <c r="S54" s="19" t="s">
        <v>34</v>
      </c>
      <c r="T54" s="19" t="s">
        <v>66</v>
      </c>
      <c r="V54" s="19">
        <v>1.6</v>
      </c>
    </row>
    <row r="55" spans="2:22" ht="20.149999999999999" customHeight="1" x14ac:dyDescent="0.45">
      <c r="B55" s="36" t="s">
        <v>25</v>
      </c>
      <c r="J55" s="19" t="s">
        <v>26</v>
      </c>
      <c r="L55" s="37"/>
      <c r="R55" s="19">
        <v>2</v>
      </c>
      <c r="S55" s="19" t="s">
        <v>34</v>
      </c>
      <c r="T55" s="19" t="s">
        <v>32</v>
      </c>
      <c r="V55" s="19">
        <v>2.5</v>
      </c>
    </row>
    <row r="56" spans="2:2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  <c r="R56" s="19">
        <v>3</v>
      </c>
      <c r="S56" s="19" t="s">
        <v>34</v>
      </c>
      <c r="T56" s="19" t="s">
        <v>66</v>
      </c>
      <c r="V56" s="19">
        <v>4</v>
      </c>
    </row>
    <row r="57" spans="2:22" ht="20.5" x14ac:dyDescent="0.45">
      <c r="F57" s="202"/>
      <c r="R57" s="19">
        <v>2</v>
      </c>
      <c r="S57" s="19" t="s">
        <v>51</v>
      </c>
      <c r="T57" s="19" t="s">
        <v>112</v>
      </c>
      <c r="V57" s="19">
        <v>20</v>
      </c>
    </row>
    <row r="58" spans="2:22" x14ac:dyDescent="0.45">
      <c r="R58" s="19">
        <v>1</v>
      </c>
      <c r="S58" s="19" t="s">
        <v>330</v>
      </c>
      <c r="T58" s="19" t="s">
        <v>56</v>
      </c>
      <c r="V58" s="19">
        <v>30</v>
      </c>
    </row>
    <row r="59" spans="2:22" x14ac:dyDescent="0.45">
      <c r="R59" s="19">
        <v>1</v>
      </c>
      <c r="S59" s="19" t="s">
        <v>401</v>
      </c>
      <c r="T59" s="19" t="s">
        <v>394</v>
      </c>
      <c r="V59" s="19">
        <v>36</v>
      </c>
    </row>
  </sheetData>
  <mergeCells count="60">
    <mergeCell ref="I39:J39"/>
    <mergeCell ref="D40:F40"/>
    <mergeCell ref="I40:J40"/>
    <mergeCell ref="I19:J19"/>
    <mergeCell ref="I30:J30"/>
    <mergeCell ref="I33:J33"/>
    <mergeCell ref="N11:P11"/>
    <mergeCell ref="I18:J18"/>
    <mergeCell ref="I22:J22"/>
    <mergeCell ref="I27:J27"/>
    <mergeCell ref="I26:J26"/>
    <mergeCell ref="I32:J32"/>
    <mergeCell ref="I31:J31"/>
    <mergeCell ref="I23:J23"/>
    <mergeCell ref="D17:F17"/>
    <mergeCell ref="I17:J17"/>
    <mergeCell ref="D18:F18"/>
    <mergeCell ref="B1:L8"/>
    <mergeCell ref="K10:L10"/>
    <mergeCell ref="B11:D11"/>
    <mergeCell ref="F11:H15"/>
    <mergeCell ref="K11:L11"/>
    <mergeCell ref="B14:D14"/>
    <mergeCell ref="K14:L14"/>
    <mergeCell ref="B12:D12"/>
    <mergeCell ref="K12:L12"/>
    <mergeCell ref="B13:D13"/>
    <mergeCell ref="K13:L13"/>
    <mergeCell ref="D23:F23"/>
    <mergeCell ref="J48:K48"/>
    <mergeCell ref="J44:K44"/>
    <mergeCell ref="J46:K46"/>
    <mergeCell ref="I29:J29"/>
    <mergeCell ref="I36:J36"/>
    <mergeCell ref="D42:F42"/>
    <mergeCell ref="I42:J42"/>
    <mergeCell ref="I35:J35"/>
    <mergeCell ref="D29:F29"/>
    <mergeCell ref="D34:F34"/>
    <mergeCell ref="D35:F35"/>
    <mergeCell ref="I34:J34"/>
    <mergeCell ref="D32:F32"/>
    <mergeCell ref="D31:F31"/>
    <mergeCell ref="D36:F36"/>
    <mergeCell ref="D19:F19"/>
    <mergeCell ref="D30:F30"/>
    <mergeCell ref="D33:F33"/>
    <mergeCell ref="I24:J24"/>
    <mergeCell ref="I25:J25"/>
    <mergeCell ref="D27:F27"/>
    <mergeCell ref="D26:F26"/>
    <mergeCell ref="D28:F28"/>
    <mergeCell ref="I28:J28"/>
    <mergeCell ref="D22:F22"/>
    <mergeCell ref="D20:F20"/>
    <mergeCell ref="I20:J20"/>
    <mergeCell ref="I21:J21"/>
    <mergeCell ref="D21:F21"/>
    <mergeCell ref="D24:F24"/>
    <mergeCell ref="D25:F25"/>
  </mergeCells>
  <conditionalFormatting sqref="C33 C30 C36 C19:C25">
    <cfRule type="duplicateValues" dxfId="209" priority="2746"/>
  </conditionalFormatting>
  <conditionalFormatting sqref="C34 C29 C18">
    <cfRule type="duplicateValues" dxfId="208" priority="2611"/>
  </conditionalFormatting>
  <conditionalFormatting sqref="C35 C27">
    <cfRule type="duplicateValues" dxfId="207" priority="2721"/>
  </conditionalFormatting>
  <conditionalFormatting sqref="C42">
    <cfRule type="duplicateValues" dxfId="206" priority="9"/>
    <cfRule type="duplicateValues" dxfId="205" priority="10"/>
  </conditionalFormatting>
  <conditionalFormatting sqref="N11">
    <cfRule type="duplicateValues" dxfId="204" priority="8"/>
  </conditionalFormatting>
  <conditionalFormatting sqref="C39">
    <cfRule type="duplicateValues" dxfId="203" priority="1"/>
  </conditionalFormatting>
  <pageMargins left="0.511811023622047" right="0.23622047244094499" top="0" bottom="0.23622047244094499" header="0.31496062992126" footer="0.31496062992126"/>
  <pageSetup paperSize="9"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39"/>
  <sheetViews>
    <sheetView topLeftCell="D5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632812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f>'#01'!M1</f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77</v>
      </c>
      <c r="J10" s="24" t="s">
        <v>27</v>
      </c>
      <c r="K10" s="493">
        <v>202407419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Rasapura Masters                    2, Bayfront Avenue #B2-49A/50A Singapore 018972                               (Fruit)</v>
      </c>
      <c r="G11" s="481"/>
      <c r="H11" s="482"/>
      <c r="J11" s="26" t="s">
        <v>9</v>
      </c>
      <c r="K11" s="495">
        <v>45490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2108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724</v>
      </c>
      <c r="D18" s="502" t="str">
        <f>VLOOKUP(C18,'Sales Master'!B$3:D$530,2,)</f>
        <v>Fresh Soursop Seedless 红毛榴莲(无)</v>
      </c>
      <c r="E18" s="502"/>
      <c r="F18" s="502"/>
      <c r="G18" s="17">
        <v>2</v>
      </c>
      <c r="H18" s="186" t="str">
        <f>VLOOKUP(C18,'Sales Master'!$B$3:$F$2481,5,0)</f>
        <v>GW:5 KG/ Tub桶</v>
      </c>
      <c r="I18" s="497" t="str">
        <f>VLOOKUP(C18,'Sales Master'!$B$3:$E$2481,4,0)</f>
        <v>DO!</v>
      </c>
      <c r="J18" s="497"/>
      <c r="K18" s="30">
        <f>VLOOKUP(C18,'Sales Master'!$B$3:$AS$530,44,0)</f>
        <v>37</v>
      </c>
      <c r="L18" s="31">
        <f>K18*G18</f>
        <v>74</v>
      </c>
      <c r="N18" s="145">
        <f>VLOOKUP(C18,'Sales Master'!$B$3:$DA$2272,104,0)</f>
        <v>25.4</v>
      </c>
      <c r="O18" s="145">
        <f>K18-N18</f>
        <v>11.600000000000001</v>
      </c>
      <c r="P18" s="145">
        <f>O18*G18</f>
        <v>23.200000000000003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31"/>
    </row>
    <row r="20" spans="2:16" ht="20.149999999999999" customHeight="1" x14ac:dyDescent="0.45">
      <c r="B20" s="29"/>
      <c r="G20" s="17"/>
      <c r="H20" s="56"/>
      <c r="I20" s="491"/>
      <c r="J20" s="491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90"/>
      <c r="E25" s="490"/>
      <c r="F25" s="490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55" t="s">
        <v>13</v>
      </c>
      <c r="K27" s="456"/>
      <c r="L27" s="38">
        <f>SUM(L17:L25)</f>
        <v>74</v>
      </c>
      <c r="M27" s="63">
        <f>SUM(P18:P20)-L27*0.04</f>
        <v>20.240000000000002</v>
      </c>
      <c r="N27" s="133">
        <f>M27/L27</f>
        <v>0.27351351351351355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57" t="s">
        <v>19</v>
      </c>
      <c r="K29" s="458"/>
      <c r="L29" s="41">
        <f>L27-L28</f>
        <v>74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6.66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59" t="s">
        <v>21</v>
      </c>
      <c r="K31" s="460"/>
      <c r="L31" s="43">
        <f>L29+L30</f>
        <v>80.66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1">
    <mergeCell ref="I20:J20"/>
    <mergeCell ref="D23:F23"/>
    <mergeCell ref="I23:J23"/>
    <mergeCell ref="D22:F22"/>
    <mergeCell ref="I22:J22"/>
    <mergeCell ref="D21:F21"/>
    <mergeCell ref="I21:J21"/>
    <mergeCell ref="J31:K31"/>
    <mergeCell ref="D24:F24"/>
    <mergeCell ref="D25:F25"/>
    <mergeCell ref="J27:K27"/>
    <mergeCell ref="J29:K2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D19:F19"/>
    <mergeCell ref="B14:D14"/>
    <mergeCell ref="K14:L14"/>
    <mergeCell ref="B15:D15"/>
    <mergeCell ref="K15:L15"/>
    <mergeCell ref="I19:J19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DC11-437D-42AD-966A-CC3F7530B5B2}">
  <sheetPr codeName="Sheet161">
    <tabColor rgb="FFFFC000"/>
    <pageSetUpPr fitToPage="1"/>
  </sheetPr>
  <dimension ref="B1:Q47"/>
  <sheetViews>
    <sheetView tabSelected="1" topLeftCell="A23" zoomScaleNormal="100" workbookViewId="0">
      <selection activeCell="D28" sqref="D28:F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</row>
    <row r="2" spans="2:12" x14ac:dyDescent="0.45"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</row>
    <row r="3" spans="2:12" x14ac:dyDescent="0.45"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</row>
    <row r="4" spans="2:12" x14ac:dyDescent="0.45"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</row>
    <row r="5" spans="2:12" x14ac:dyDescent="0.45"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</row>
    <row r="6" spans="2:12" x14ac:dyDescent="0.45"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4"/>
    </row>
    <row r="7" spans="2:12" x14ac:dyDescent="0.45"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</row>
    <row r="8" spans="2:12" ht="19" thickBot="1" x14ac:dyDescent="0.5">
      <c r="B8" s="530"/>
      <c r="C8" s="530"/>
      <c r="D8" s="530"/>
      <c r="E8" s="530"/>
      <c r="F8" s="530"/>
      <c r="G8" s="530"/>
      <c r="H8" s="530"/>
      <c r="I8" s="530"/>
      <c r="J8" s="530"/>
      <c r="K8" s="530"/>
      <c r="L8" s="530"/>
    </row>
    <row r="9" spans="2:12" ht="19" thickBot="1" x14ac:dyDescent="0.5">
      <c r="B9" s="367"/>
      <c r="C9" s="365"/>
      <c r="D9" s="365"/>
      <c r="E9" s="365"/>
      <c r="F9" s="365"/>
      <c r="G9" s="365"/>
      <c r="H9" s="365"/>
      <c r="I9" s="365"/>
      <c r="J9" s="365"/>
      <c r="K9" s="365"/>
      <c r="L9" s="365"/>
    </row>
    <row r="10" spans="2:12" ht="18" customHeight="1" thickTop="1" thickBot="1" x14ac:dyDescent="0.5">
      <c r="B10" s="368" t="s">
        <v>7</v>
      </c>
      <c r="C10" s="368"/>
      <c r="D10" s="368"/>
      <c r="E10" s="368"/>
      <c r="F10" s="369" t="s">
        <v>8</v>
      </c>
      <c r="G10" s="23"/>
      <c r="H10" s="23" t="s">
        <v>170</v>
      </c>
      <c r="I10" s="365"/>
      <c r="J10" s="24" t="s">
        <v>27</v>
      </c>
      <c r="K10" s="493">
        <v>202501232</v>
      </c>
      <c r="L10" s="494"/>
    </row>
    <row r="11" spans="2:12" ht="20.149999999999999" customHeight="1" x14ac:dyDescent="0.45">
      <c r="B11" s="480" t="s">
        <v>1180</v>
      </c>
      <c r="C11" s="481"/>
      <c r="D11" s="482"/>
      <c r="E11" s="370"/>
      <c r="F11" s="480" t="str">
        <f>VLOOKUP(H10,'Delivery Location'!A$4:N$460,2,0)</f>
        <v xml:space="preserve">Koufu - Dessert                                             9, Tampines Street 32,   Tampines Mart. Singapore 529287.             </v>
      </c>
      <c r="G11" s="481"/>
      <c r="H11" s="482"/>
      <c r="I11" s="365"/>
      <c r="J11" s="26" t="s">
        <v>9</v>
      </c>
      <c r="K11" s="495">
        <v>45667</v>
      </c>
      <c r="L11" s="496"/>
    </row>
    <row r="12" spans="2:12" ht="20.149999999999999" customHeight="1" x14ac:dyDescent="0.45">
      <c r="B12" s="483" t="s">
        <v>1251</v>
      </c>
      <c r="C12" s="484"/>
      <c r="D12" s="485"/>
      <c r="E12" s="370"/>
      <c r="F12" s="483"/>
      <c r="G12" s="484"/>
      <c r="H12" s="485"/>
      <c r="I12" s="36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3" t="s">
        <v>1172</v>
      </c>
      <c r="C13" s="484"/>
      <c r="D13" s="485"/>
      <c r="E13" s="370"/>
      <c r="F13" s="483"/>
      <c r="G13" s="484"/>
      <c r="H13" s="485"/>
      <c r="I13" s="36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3" t="s">
        <v>1173</v>
      </c>
      <c r="C14" s="484"/>
      <c r="D14" s="485"/>
      <c r="E14" s="370"/>
      <c r="F14" s="483"/>
      <c r="G14" s="484"/>
      <c r="H14" s="485"/>
      <c r="I14" s="36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368"/>
      <c r="F15" s="465"/>
      <c r="G15" s="466"/>
      <c r="H15" s="467"/>
      <c r="I15" s="365"/>
      <c r="J15" s="27" t="s">
        <v>11</v>
      </c>
      <c r="K15" s="468"/>
      <c r="L15" s="469"/>
    </row>
    <row r="16" spans="2:12" ht="19" thickBot="1" x14ac:dyDescent="0.5"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</row>
    <row r="17" spans="2:17" ht="30" customHeight="1" thickBot="1" x14ac:dyDescent="0.5">
      <c r="B17" s="371" t="s">
        <v>2</v>
      </c>
      <c r="C17" s="372" t="s">
        <v>3</v>
      </c>
      <c r="D17" s="531" t="s">
        <v>4</v>
      </c>
      <c r="E17" s="533"/>
      <c r="F17" s="532"/>
      <c r="G17" s="373" t="s">
        <v>405</v>
      </c>
      <c r="H17" s="372" t="s">
        <v>29</v>
      </c>
      <c r="I17" s="531" t="s">
        <v>53</v>
      </c>
      <c r="J17" s="532"/>
      <c r="K17" s="372" t="s">
        <v>5</v>
      </c>
      <c r="L17" s="374" t="s">
        <v>6</v>
      </c>
      <c r="M17" s="28"/>
    </row>
    <row r="18" spans="2:17" ht="20.149999999999999" customHeight="1" x14ac:dyDescent="0.45">
      <c r="B18" s="375"/>
      <c r="C18" s="212" t="s">
        <v>726</v>
      </c>
      <c r="D18" s="461" t="str">
        <f>VLOOKUP(C18,'Sales Master'!B$3:D$530,2,)</f>
        <v>Durian Puree 榴莲酱</v>
      </c>
      <c r="E18" s="461"/>
      <c r="F18" s="461"/>
      <c r="G18" s="76">
        <v>1</v>
      </c>
      <c r="H18" s="186" t="str">
        <f>VLOOKUP(C18,'Sales Master'!$B$3:$F$2413,5,0)</f>
        <v>1 KG/ Box盒</v>
      </c>
      <c r="I18" s="497" t="str">
        <f>VLOOKUP(C18,'Sales Master'!$B$3:$E$2413,4,0)</f>
        <v>DO!</v>
      </c>
      <c r="J18" s="497"/>
      <c r="K18" s="377">
        <f>VLOOKUP(C18,'Sales Master'!$B$3:$AZ$530,51,0)</f>
        <v>7</v>
      </c>
      <c r="L18" s="378">
        <f t="shared" ref="L18" si="0">K18*G18</f>
        <v>7</v>
      </c>
    </row>
    <row r="19" spans="2:17" ht="20.5" customHeight="1" x14ac:dyDescent="0.45">
      <c r="B19" s="375"/>
      <c r="C19" s="212" t="s">
        <v>741</v>
      </c>
      <c r="D19" s="492" t="str">
        <f>VLOOKUP(C19,'Sales Master'!B$3:D$530,2,)</f>
        <v>Pong Thai Hai (Wet) 碰大海(湿)</v>
      </c>
      <c r="E19" s="492"/>
      <c r="F19" s="492"/>
      <c r="G19" s="76">
        <v>2</v>
      </c>
      <c r="H19" s="186" t="str">
        <f>VLOOKUP(C19,'Sales Master'!$B$3:$F$2413,5,0)</f>
        <v>1 KG/ Pkt包</v>
      </c>
      <c r="I19" s="497" t="str">
        <f>VLOOKUP(C19,'Sales Master'!$B$3:$E$2413,4,0)</f>
        <v>DO!</v>
      </c>
      <c r="J19" s="497"/>
      <c r="K19" s="377">
        <f>VLOOKUP(C19,'Sales Master'!$B$3:$AZ$530,51,0)</f>
        <v>10</v>
      </c>
      <c r="L19" s="378">
        <f>K19*G19</f>
        <v>20</v>
      </c>
      <c r="N19" s="145"/>
      <c r="O19" s="145"/>
      <c r="P19" s="145"/>
    </row>
    <row r="20" spans="2:17" ht="20.5" customHeight="1" x14ac:dyDescent="0.45">
      <c r="B20" s="375"/>
      <c r="C20" s="212" t="s">
        <v>829</v>
      </c>
      <c r="D20" s="461" t="str">
        <f>VLOOKUP(C20,'Sales Master'!B$3:D$530,2,)</f>
        <v>Atap Seeds in Syrup 亚嗒子</v>
      </c>
      <c r="E20" s="461"/>
      <c r="F20" s="461"/>
      <c r="G20" s="76">
        <v>2</v>
      </c>
      <c r="H20" s="186" t="str">
        <f>VLOOKUP(C20,'Sales Master'!$B$3:$F$2413,5,0)</f>
        <v>NW(1.6:0.6) 2.2kg/ Bag包</v>
      </c>
      <c r="I20" s="497" t="str">
        <f>VLOOKUP(C20,'Sales Master'!$B$3:$E$2413,4,0)</f>
        <v>DO!</v>
      </c>
      <c r="J20" s="497"/>
      <c r="K20" s="377">
        <f>VLOOKUP(C20,'Sales Master'!$B$3:$AZ$530,51,0)</f>
        <v>9.5</v>
      </c>
      <c r="L20" s="378">
        <f>K20*G20</f>
        <v>19</v>
      </c>
      <c r="N20" s="145"/>
      <c r="O20" s="145"/>
      <c r="P20" s="145"/>
    </row>
    <row r="21" spans="2:17" ht="20.149999999999999" customHeight="1" x14ac:dyDescent="0.45">
      <c r="B21" s="375"/>
      <c r="C21" s="212" t="s">
        <v>831</v>
      </c>
      <c r="D21" s="461" t="str">
        <f>VLOOKUP(C21,'Sales Master'!B$3:D$530,2,)</f>
        <v>Chin Chow  仙草</v>
      </c>
      <c r="E21" s="461"/>
      <c r="F21" s="461"/>
      <c r="G21" s="76">
        <v>3</v>
      </c>
      <c r="H21" s="186" t="str">
        <f>VLOOKUP(C21,'Sales Master'!$B$3:$F$2413,5,0)</f>
        <v>4 KG/ Pkt包</v>
      </c>
      <c r="I21" s="497" t="str">
        <f>VLOOKUP(C21,'Sales Master'!$B$3:$E$2413,4,0)</f>
        <v>TSM</v>
      </c>
      <c r="J21" s="497"/>
      <c r="K21" s="377">
        <f>VLOOKUP(C21,'Sales Master'!$B$3:$AZ$530,51,0)</f>
        <v>6</v>
      </c>
      <c r="L21" s="378">
        <f>K21*G21</f>
        <v>18</v>
      </c>
    </row>
    <row r="22" spans="2:17" ht="20.5" customHeight="1" x14ac:dyDescent="0.45">
      <c r="B22" s="375"/>
      <c r="C22" s="212" t="s">
        <v>841</v>
      </c>
      <c r="D22" s="461" t="str">
        <f>VLOOKUP(C22,'Sales Master'!B$3:D$530,2,)</f>
        <v>Small Red Bean 小红豆</v>
      </c>
      <c r="E22" s="461"/>
      <c r="F22" s="461"/>
      <c r="G22" s="76">
        <v>3</v>
      </c>
      <c r="H22" s="186" t="str">
        <f>VLOOKUP(C22,'Sales Master'!$B$3:$F$2413,5,0)</f>
        <v>5 KG</v>
      </c>
      <c r="I22" s="497" t="str">
        <f>VLOOKUP(C22,'Sales Master'!$B$3:$E$2413,4,0)</f>
        <v>-</v>
      </c>
      <c r="J22" s="497"/>
      <c r="K22" s="377">
        <f>VLOOKUP(C22,'Sales Master'!$B$3:$AZ$530,51,0)</f>
        <v>17.5</v>
      </c>
      <c r="L22" s="378">
        <f>K22*G22</f>
        <v>52.5</v>
      </c>
      <c r="N22" s="145"/>
      <c r="O22" s="145"/>
      <c r="P22" s="145"/>
    </row>
    <row r="23" spans="2:17" ht="20.149999999999999" customHeight="1" x14ac:dyDescent="0.45">
      <c r="B23" s="375"/>
      <c r="C23" s="212" t="s">
        <v>861</v>
      </c>
      <c r="D23" s="492" t="str">
        <f>VLOOKUP(C23,'Sales Master'!B$3:D$530,2,)</f>
        <v>Black Glutinous Rice 黑糯米</v>
      </c>
      <c r="E23" s="492"/>
      <c r="F23" s="492"/>
      <c r="G23" s="76">
        <v>3</v>
      </c>
      <c r="H23" s="186" t="str">
        <f>VLOOKUP(C23,'Sales Master'!$B$3:$F$2413,5,0)</f>
        <v>5 KGS</v>
      </c>
      <c r="I23" s="497" t="str">
        <f>VLOOKUP(C23,'Sales Master'!$B$3:$E$2413,4,0)</f>
        <v>-</v>
      </c>
      <c r="J23" s="497"/>
      <c r="K23" s="377">
        <f>VLOOKUP(C23,'Sales Master'!$B$3:$AZ$530,51,0)</f>
        <v>18</v>
      </c>
      <c r="L23" s="378">
        <f>K23*G23</f>
        <v>54</v>
      </c>
      <c r="N23" s="145"/>
      <c r="O23" s="145"/>
      <c r="P23" s="145"/>
      <c r="Q23" s="170"/>
    </row>
    <row r="24" spans="2:17" ht="20.149999999999999" customHeight="1" x14ac:dyDescent="0.45">
      <c r="B24" s="375"/>
      <c r="C24" s="212" t="s">
        <v>865</v>
      </c>
      <c r="D24" s="461" t="str">
        <f>VLOOKUP(C24,'Sales Master'!B$3:D$530,2,)</f>
        <v>White Glutinous Rice 白糯米</v>
      </c>
      <c r="E24" s="461"/>
      <c r="F24" s="461"/>
      <c r="G24" s="76">
        <v>1</v>
      </c>
      <c r="H24" s="186" t="str">
        <f>VLOOKUP(C24,'Sales Master'!$B$3:$F$2413,5,0)</f>
        <v>5 KG</v>
      </c>
      <c r="I24" s="497" t="str">
        <f>VLOOKUP(C24,'Sales Master'!$B$3:$E$2413,4,0)</f>
        <v>-</v>
      </c>
      <c r="J24" s="497"/>
      <c r="K24" s="377">
        <f>VLOOKUP(C24,'Sales Master'!$B$3:$AZ$530,51,0)</f>
        <v>10</v>
      </c>
      <c r="L24" s="378">
        <f t="shared" ref="L24" si="1">K24*G24</f>
        <v>10</v>
      </c>
      <c r="N24" s="145"/>
      <c r="O24" s="145"/>
      <c r="P24" s="145"/>
    </row>
    <row r="25" spans="2:17" ht="20.149999999999999" customHeight="1" x14ac:dyDescent="0.45">
      <c r="B25" s="375"/>
      <c r="C25" s="212" t="s">
        <v>870</v>
      </c>
      <c r="D25" s="461" t="str">
        <f>VLOOKUP(C25,'Sales Master'!B$3:D$530,2,)</f>
        <v>Pearl Barley 薏米</v>
      </c>
      <c r="E25" s="461"/>
      <c r="F25" s="461"/>
      <c r="G25" s="76">
        <v>1</v>
      </c>
      <c r="H25" s="186" t="str">
        <f>VLOOKUP(C25,'Sales Master'!$B$3:$F$2413,5,0)</f>
        <v>5 KG</v>
      </c>
      <c r="I25" s="497" t="str">
        <f>VLOOKUP(C25,'Sales Master'!$B$3:$E$2413,4,0)</f>
        <v>-</v>
      </c>
      <c r="J25" s="497"/>
      <c r="K25" s="377">
        <f>VLOOKUP(C25,'Sales Master'!$B$3:$AZ$530,51,0)</f>
        <v>10</v>
      </c>
      <c r="L25" s="378">
        <f>K25*G25</f>
        <v>10</v>
      </c>
    </row>
    <row r="26" spans="2:17" ht="20.149999999999999" customHeight="1" x14ac:dyDescent="0.45">
      <c r="B26" s="375"/>
      <c r="C26" s="212" t="s">
        <v>888</v>
      </c>
      <c r="D26" s="461" t="str">
        <f>VLOOKUP(C26,'Sales Master'!B$3:D$530,2,)</f>
        <v>Red Date (Seedless) 红枣(无)</v>
      </c>
      <c r="E26" s="461"/>
      <c r="F26" s="461"/>
      <c r="G26" s="76">
        <v>1</v>
      </c>
      <c r="H26" s="186" t="str">
        <f>VLOOKUP(C26,'Sales Master'!$B$3:$F$2413,5,0)</f>
        <v>1 kg</v>
      </c>
      <c r="I26" s="497" t="str">
        <f>VLOOKUP(C26,'Sales Master'!$B$3:$E$2413,4,0)</f>
        <v>-</v>
      </c>
      <c r="J26" s="497"/>
      <c r="K26" s="377">
        <f>VLOOKUP(C26,'Sales Master'!$B$3:$AZ$530,51,0)</f>
        <v>5</v>
      </c>
      <c r="L26" s="378">
        <f>K26*G26</f>
        <v>5</v>
      </c>
      <c r="N26" s="145"/>
      <c r="O26" s="145"/>
      <c r="P26" s="145"/>
      <c r="Q26" s="170"/>
    </row>
    <row r="27" spans="2:17" ht="20.149999999999999" customHeight="1" x14ac:dyDescent="0.45">
      <c r="B27" s="375"/>
      <c r="C27" s="212" t="s">
        <v>1011</v>
      </c>
      <c r="D27" s="498" t="str">
        <f>VLOOKUP(C27,'Sales Master'!B$3:D$530,2,)</f>
        <v>Brown Sugar 黑糖</v>
      </c>
      <c r="E27" s="498"/>
      <c r="F27" s="498"/>
      <c r="G27" s="76">
        <v>1</v>
      </c>
      <c r="H27" s="186" t="str">
        <f>VLOOKUP(C27,'Sales Master'!$B$3:$F$2413,5,0)</f>
        <v>6 KG</v>
      </c>
      <c r="I27" s="497" t="str">
        <f>VLOOKUP(C27,'Sales Master'!$B$3:$E$2413,4,0)</f>
        <v>Star</v>
      </c>
      <c r="J27" s="497"/>
      <c r="K27" s="377">
        <f>VLOOKUP(C27,'Sales Master'!$B$3:$AZ$530,51,0)</f>
        <v>15</v>
      </c>
      <c r="L27" s="378">
        <f>K27*G27</f>
        <v>15</v>
      </c>
      <c r="N27" s="145"/>
      <c r="O27" s="145"/>
      <c r="P27" s="145"/>
    </row>
    <row r="28" spans="2:17" ht="20.149999999999999" customHeight="1" x14ac:dyDescent="0.45">
      <c r="B28" s="375"/>
      <c r="C28" s="212"/>
      <c r="D28" s="461"/>
      <c r="E28" s="461"/>
      <c r="F28" s="461"/>
      <c r="G28" s="76"/>
      <c r="H28" s="186"/>
      <c r="I28" s="497"/>
      <c r="J28" s="497"/>
      <c r="K28" s="377"/>
      <c r="L28" s="378"/>
      <c r="N28" s="145"/>
      <c r="O28" s="145"/>
      <c r="P28" s="145"/>
      <c r="Q28" s="170"/>
    </row>
    <row r="29" spans="2:17" ht="20.149999999999999" customHeight="1" x14ac:dyDescent="0.45">
      <c r="B29" s="375"/>
      <c r="C29" s="212"/>
      <c r="D29" s="461"/>
      <c r="E29" s="461"/>
      <c r="F29" s="461"/>
      <c r="G29" s="76"/>
      <c r="H29" s="186"/>
      <c r="I29" s="497"/>
      <c r="J29" s="497"/>
      <c r="K29" s="377"/>
      <c r="L29" s="378"/>
      <c r="N29" s="145"/>
      <c r="O29" s="145"/>
      <c r="P29" s="145"/>
    </row>
    <row r="30" spans="2:17" ht="20.5" customHeight="1" x14ac:dyDescent="0.45">
      <c r="B30" s="375"/>
      <c r="C30" s="149" t="s">
        <v>2317</v>
      </c>
      <c r="D30" s="403"/>
      <c r="E30" s="403"/>
      <c r="F30" s="403"/>
      <c r="G30" s="76"/>
      <c r="H30" s="186"/>
      <c r="I30" s="497"/>
      <c r="J30" s="497"/>
      <c r="K30" s="190"/>
      <c r="L30" s="378"/>
      <c r="N30" s="145"/>
      <c r="O30" s="145"/>
      <c r="P30" s="145"/>
    </row>
    <row r="31" spans="2:17" ht="20.149999999999999" customHeight="1" x14ac:dyDescent="0.45">
      <c r="B31" s="375"/>
      <c r="C31" s="212" t="s">
        <v>990</v>
      </c>
      <c r="D31" s="501" t="str">
        <f>VLOOKUP(C31,'[3]Sales Master'!B$3:D$663,2,0)</f>
        <v>Coconut Milk 椰浆</v>
      </c>
      <c r="E31" s="501"/>
      <c r="F31" s="501"/>
      <c r="G31" s="17">
        <v>1</v>
      </c>
      <c r="H31" s="186" t="str">
        <f>VLOOKUP(C31,'[3]Sales Master'!B$3:F$955,5,0)</f>
        <v>(1L x 12bag)/箱</v>
      </c>
      <c r="I31" s="497" t="str">
        <f>VLOOKUP(C31,'[3]Sales Master'!B$3:E$955,4,0)</f>
        <v>Kara UHT</v>
      </c>
      <c r="J31" s="497"/>
      <c r="K31" s="190">
        <v>48</v>
      </c>
      <c r="L31" s="378"/>
      <c r="N31" s="145"/>
      <c r="O31" s="145"/>
      <c r="P31" s="145"/>
      <c r="Q31" s="170"/>
    </row>
    <row r="32" spans="2:17" ht="20.149999999999999" customHeight="1" x14ac:dyDescent="0.45">
      <c r="B32" s="375"/>
      <c r="C32" s="376"/>
      <c r="G32" s="76"/>
      <c r="H32" s="186"/>
      <c r="I32" s="208"/>
      <c r="J32" s="208"/>
      <c r="K32" s="377"/>
      <c r="L32" s="378"/>
      <c r="N32" s="145"/>
      <c r="O32" s="145"/>
      <c r="P32" s="145"/>
      <c r="Q32" s="170"/>
    </row>
    <row r="33" spans="2:14" ht="20.149999999999999" customHeight="1" thickBot="1" x14ac:dyDescent="0.5">
      <c r="B33" s="379"/>
      <c r="C33" s="366"/>
      <c r="D33" s="530"/>
      <c r="E33" s="530"/>
      <c r="F33" s="530"/>
      <c r="G33" s="366"/>
      <c r="H33" s="366"/>
      <c r="I33" s="366"/>
      <c r="J33" s="366"/>
      <c r="K33" s="380"/>
      <c r="L33" s="381"/>
    </row>
    <row r="34" spans="2:14" ht="20.149999999999999" customHeight="1" thickBot="1" x14ac:dyDescent="0.5">
      <c r="B34" s="375"/>
      <c r="C34" s="365"/>
      <c r="D34" s="365"/>
      <c r="E34" s="365"/>
      <c r="F34" s="365"/>
      <c r="G34" s="365"/>
      <c r="H34" s="365"/>
      <c r="I34" s="365"/>
      <c r="J34" s="365"/>
      <c r="K34" s="365"/>
      <c r="L34" s="382"/>
    </row>
    <row r="35" spans="2:14" ht="20.149999999999999" customHeight="1" x14ac:dyDescent="0.45">
      <c r="B35" s="10" t="s">
        <v>16</v>
      </c>
      <c r="C35" s="383"/>
      <c r="D35" s="383"/>
      <c r="E35" s="383"/>
      <c r="F35" s="383"/>
      <c r="G35" s="383"/>
      <c r="H35" s="383"/>
      <c r="I35" s="383"/>
      <c r="J35" s="455" t="s">
        <v>13</v>
      </c>
      <c r="K35" s="456"/>
      <c r="L35" s="384">
        <f>SUM(L18:L33)</f>
        <v>210.5</v>
      </c>
      <c r="M35" s="63">
        <f>SUM(P18:P33)-L35*0.04</f>
        <v>-8.42</v>
      </c>
      <c r="N35" s="133">
        <f>M35/L35</f>
        <v>-0.04</v>
      </c>
    </row>
    <row r="36" spans="2:14" ht="20.149999999999999" customHeight="1" x14ac:dyDescent="0.45">
      <c r="B36" s="10" t="s">
        <v>17</v>
      </c>
      <c r="C36" s="383"/>
      <c r="D36" s="383"/>
      <c r="E36" s="383"/>
      <c r="F36" s="383"/>
      <c r="G36" s="383"/>
      <c r="H36" s="383"/>
      <c r="I36" s="383"/>
      <c r="J36" s="39" t="s">
        <v>20</v>
      </c>
      <c r="K36" s="393"/>
      <c r="L36" s="386">
        <f>L35*K36</f>
        <v>0</v>
      </c>
    </row>
    <row r="37" spans="2:14" ht="20.149999999999999" customHeight="1" x14ac:dyDescent="0.45">
      <c r="B37" s="10" t="s">
        <v>18</v>
      </c>
      <c r="C37" s="383"/>
      <c r="D37" s="383"/>
      <c r="E37" s="383"/>
      <c r="F37" s="383"/>
      <c r="G37" s="383"/>
      <c r="H37" s="383"/>
      <c r="I37" s="383"/>
      <c r="J37" s="457" t="s">
        <v>19</v>
      </c>
      <c r="K37" s="458"/>
      <c r="L37" s="386">
        <f>L35-L36</f>
        <v>210.5</v>
      </c>
    </row>
    <row r="38" spans="2:14" ht="20.149999999999999" customHeight="1" x14ac:dyDescent="0.45">
      <c r="B38" s="10" t="s">
        <v>22</v>
      </c>
      <c r="C38" s="383"/>
      <c r="D38" s="383"/>
      <c r="E38" s="383"/>
      <c r="F38" s="383"/>
      <c r="G38" s="383"/>
      <c r="H38" s="383"/>
      <c r="I38" s="383"/>
      <c r="J38" s="39" t="s">
        <v>15</v>
      </c>
      <c r="K38" s="385">
        <f>'Sales Master'!$B$1</f>
        <v>0.09</v>
      </c>
      <c r="L38" s="387">
        <f>L37*K38</f>
        <v>18.945</v>
      </c>
    </row>
    <row r="39" spans="2:14" ht="20.149999999999999" customHeight="1" thickBot="1" x14ac:dyDescent="0.5">
      <c r="B39" s="10" t="s">
        <v>23</v>
      </c>
      <c r="C39" s="383"/>
      <c r="D39" s="383"/>
      <c r="E39" s="383"/>
      <c r="F39" s="383"/>
      <c r="G39" s="383"/>
      <c r="H39" s="383"/>
      <c r="I39" s="383"/>
      <c r="J39" s="459" t="s">
        <v>21</v>
      </c>
      <c r="K39" s="460"/>
      <c r="L39" s="388">
        <f>L37+L38</f>
        <v>229.44499999999999</v>
      </c>
    </row>
    <row r="40" spans="2:14" ht="20.149999999999999" customHeight="1" x14ac:dyDescent="0.45">
      <c r="B40" s="10" t="s">
        <v>24</v>
      </c>
      <c r="C40" s="383"/>
      <c r="D40" s="383"/>
      <c r="E40" s="383"/>
      <c r="F40" s="383"/>
      <c r="G40" s="383"/>
      <c r="H40" s="383"/>
      <c r="I40" s="383"/>
      <c r="J40" s="365"/>
      <c r="K40" s="365"/>
      <c r="L40" s="382"/>
    </row>
    <row r="41" spans="2:14" ht="20.149999999999999" customHeight="1" x14ac:dyDescent="0.45">
      <c r="B41" s="375"/>
      <c r="C41" s="365"/>
      <c r="D41" s="365"/>
      <c r="E41" s="365"/>
      <c r="F41" s="365"/>
      <c r="G41" s="365"/>
      <c r="H41" s="365"/>
      <c r="I41" s="365"/>
      <c r="J41" s="365"/>
      <c r="K41" s="365"/>
      <c r="L41" s="382"/>
    </row>
    <row r="42" spans="2:14" ht="20.149999999999999" customHeight="1" x14ac:dyDescent="0.45">
      <c r="B42" s="375"/>
      <c r="C42" s="365"/>
      <c r="D42" s="365"/>
      <c r="E42" s="365"/>
      <c r="F42" s="365"/>
      <c r="G42" s="365"/>
      <c r="H42" s="365"/>
      <c r="I42" s="365"/>
      <c r="J42" s="365"/>
      <c r="K42" s="365"/>
      <c r="L42" s="382"/>
    </row>
    <row r="43" spans="2:14" ht="20.149999999999999" customHeight="1" x14ac:dyDescent="0.45">
      <c r="B43" s="375"/>
      <c r="C43" s="365"/>
      <c r="D43" s="365"/>
      <c r="E43" s="365"/>
      <c r="F43" s="365"/>
      <c r="G43" s="365"/>
      <c r="H43" s="365"/>
      <c r="I43" s="365"/>
      <c r="J43" s="365"/>
      <c r="K43" s="365"/>
      <c r="L43" s="382"/>
    </row>
    <row r="44" spans="2:14" ht="20.149999999999999" customHeight="1" x14ac:dyDescent="0.45">
      <c r="B44" s="375"/>
      <c r="C44" s="365"/>
      <c r="D44" s="365"/>
      <c r="E44" s="365"/>
      <c r="F44" s="365"/>
      <c r="G44" s="365"/>
      <c r="H44" s="365"/>
      <c r="I44" s="365"/>
      <c r="J44" s="365"/>
      <c r="K44" s="365"/>
      <c r="L44" s="382"/>
    </row>
    <row r="45" spans="2:14" ht="20.149999999999999" customHeight="1" x14ac:dyDescent="0.45">
      <c r="B45" s="389"/>
      <c r="C45" s="390"/>
      <c r="D45" s="390"/>
      <c r="E45" s="365"/>
      <c r="F45" s="365"/>
      <c r="G45" s="365"/>
      <c r="H45" s="365"/>
      <c r="I45" s="365"/>
      <c r="J45" s="390"/>
      <c r="K45" s="390"/>
      <c r="L45" s="391"/>
    </row>
    <row r="46" spans="2:14" ht="20.149999999999999" customHeight="1" x14ac:dyDescent="0.45">
      <c r="B46" s="36" t="s">
        <v>25</v>
      </c>
      <c r="C46" s="365"/>
      <c r="D46" s="365"/>
      <c r="E46" s="365"/>
      <c r="F46" s="365"/>
      <c r="G46" s="365"/>
      <c r="H46" s="365"/>
      <c r="I46" s="365"/>
      <c r="J46" s="19" t="s">
        <v>26</v>
      </c>
      <c r="K46" s="365"/>
      <c r="L46" s="382"/>
    </row>
    <row r="47" spans="2:14" ht="19" thickBot="1" x14ac:dyDescent="0.5">
      <c r="B47" s="379"/>
      <c r="C47" s="366"/>
      <c r="D47" s="366"/>
      <c r="E47" s="366"/>
      <c r="F47" s="366"/>
      <c r="G47" s="366"/>
      <c r="H47" s="366"/>
      <c r="I47" s="366"/>
      <c r="J47" s="366"/>
      <c r="K47" s="366"/>
      <c r="L47" s="392"/>
    </row>
  </sheetData>
  <mergeCells count="46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8:J18"/>
    <mergeCell ref="D18:F18"/>
    <mergeCell ref="I27:J27"/>
    <mergeCell ref="D27:F27"/>
    <mergeCell ref="D22:F22"/>
    <mergeCell ref="I22:J22"/>
    <mergeCell ref="D25:F25"/>
    <mergeCell ref="I25:J25"/>
    <mergeCell ref="D23:F23"/>
    <mergeCell ref="I23:J23"/>
    <mergeCell ref="D20:F20"/>
    <mergeCell ref="I20:J20"/>
    <mergeCell ref="I24:J24"/>
    <mergeCell ref="D24:F24"/>
    <mergeCell ref="I21:J21"/>
    <mergeCell ref="D21:F21"/>
    <mergeCell ref="I26:J26"/>
    <mergeCell ref="D26:F26"/>
    <mergeCell ref="D19:F19"/>
    <mergeCell ref="I19:J19"/>
    <mergeCell ref="J39:K39"/>
    <mergeCell ref="D33:F33"/>
    <mergeCell ref="J35:K35"/>
    <mergeCell ref="J37:K37"/>
    <mergeCell ref="D28:F28"/>
    <mergeCell ref="I30:J30"/>
    <mergeCell ref="I28:J28"/>
    <mergeCell ref="I29:J29"/>
    <mergeCell ref="D29:F29"/>
    <mergeCell ref="D31:F31"/>
    <mergeCell ref="I31:J31"/>
  </mergeCells>
  <conditionalFormatting sqref="C30">
    <cfRule type="duplicateValues" dxfId="0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38"/>
  <sheetViews>
    <sheetView topLeftCell="A14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171</v>
      </c>
      <c r="J10" s="24" t="s">
        <v>27</v>
      </c>
      <c r="K10" s="493">
        <v>202501030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 Drink                                              9 Tampines Street 32,   Tampines Mart. Singapore 529287.             </v>
      </c>
      <c r="G11" s="481"/>
      <c r="H11" s="482"/>
      <c r="J11" s="26" t="s">
        <v>9</v>
      </c>
      <c r="K11" s="495">
        <v>45659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4</v>
      </c>
      <c r="H18" s="186" t="str">
        <f>VLOOKUP(C18,'Sales Master'!$B$3:$F$2413,5,0)</f>
        <v>(1L x 12bag)/箱</v>
      </c>
      <c r="I18" s="497" t="str">
        <f>VLOOKUP(C18,'Sales Master'!$B$3:$E$2413,4,0)</f>
        <v>Kara UHT</v>
      </c>
      <c r="J18" s="497"/>
      <c r="K18" s="30">
        <f>VLOOKUP(C18,'Sales Master'!$B$3:$J$530,9,0)</f>
        <v>42</v>
      </c>
      <c r="L18" s="64">
        <f>K18*G18</f>
        <v>168</v>
      </c>
    </row>
    <row r="19" spans="2:17" ht="20.149999999999999" customHeight="1" x14ac:dyDescent="0.45">
      <c r="B19" s="29"/>
      <c r="C19" s="212" t="s">
        <v>811</v>
      </c>
      <c r="D19" s="461" t="str">
        <f>VLOOKUP(C19,'Sales Master'!B$3:D$530,2,)</f>
        <v>Potato Starch 风车粉</v>
      </c>
      <c r="E19" s="461"/>
      <c r="F19" s="461"/>
      <c r="G19" s="17">
        <v>1</v>
      </c>
      <c r="H19" s="186" t="str">
        <f>VLOOKUP(C19,'Sales Master'!$B$3:$F$2413,5,0)</f>
        <v>350 GM x 24/ Ctn箱</v>
      </c>
      <c r="I19" s="497" t="str">
        <f>VLOOKUP(C19,'Sales Master'!$B$3:$E$2413,4,0)</f>
        <v>Windmill</v>
      </c>
      <c r="J19" s="497"/>
      <c r="K19" s="30">
        <f>VLOOKUP(C19,'Sales Master'!$B$3:$J$530,9,0)</f>
        <v>41</v>
      </c>
      <c r="L19" s="64">
        <f>K19*G19</f>
        <v>41</v>
      </c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6"/>
      <c r="I20" s="497"/>
      <c r="J20" s="497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6"/>
      <c r="I21" s="497"/>
      <c r="J21" s="497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6"/>
      <c r="I22" s="497"/>
      <c r="J22" s="497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thickBot="1" x14ac:dyDescent="0.5">
      <c r="B24" s="32"/>
      <c r="C24" s="33"/>
      <c r="D24" s="490"/>
      <c r="E24" s="490"/>
      <c r="F24" s="490"/>
      <c r="G24" s="33"/>
      <c r="H24" s="33"/>
      <c r="I24" s="33"/>
      <c r="J24" s="33"/>
      <c r="K24" s="34"/>
      <c r="L24" s="35"/>
    </row>
    <row r="25" spans="2:17" ht="20.149999999999999" customHeight="1" thickBot="1" x14ac:dyDescent="0.5">
      <c r="B25" s="36"/>
      <c r="L25" s="37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55" t="s">
        <v>13</v>
      </c>
      <c r="K26" s="456"/>
      <c r="L26" s="38">
        <f>SUM(L16:L24)</f>
        <v>209</v>
      </c>
      <c r="M26" s="63">
        <f>SUM(P18:P24)-L26*0.04</f>
        <v>-8.36</v>
      </c>
      <c r="N26" s="133">
        <f>M26/L26</f>
        <v>-3.9999999999999994E-2</v>
      </c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57" t="s">
        <v>19</v>
      </c>
      <c r="K28" s="458"/>
      <c r="L28" s="41">
        <f>L26-L27</f>
        <v>209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18.809999999999999</v>
      </c>
    </row>
    <row r="30" spans="2:17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59" t="s">
        <v>21</v>
      </c>
      <c r="K30" s="460"/>
      <c r="L30" s="43">
        <f>L28+L29</f>
        <v>227.81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7" ht="20.149999999999999" customHeight="1" x14ac:dyDescent="0.45">
      <c r="B32" s="3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J28:K28"/>
    <mergeCell ref="J30:K30"/>
    <mergeCell ref="D24:F24"/>
    <mergeCell ref="J26:K26"/>
    <mergeCell ref="D21:F21"/>
    <mergeCell ref="I21:J21"/>
    <mergeCell ref="D22:F22"/>
    <mergeCell ref="I22:J22"/>
    <mergeCell ref="D23:F23"/>
    <mergeCell ref="I23:J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51"/>
  <sheetViews>
    <sheetView topLeftCell="B15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173</v>
      </c>
      <c r="J10" s="68" t="s">
        <v>27</v>
      </c>
      <c r="K10" s="493"/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>1983 - A TASTE OF NANYANG                         9, WOODLANDS AVENUE 9.                       SOUTH FOOD COURT LEVER 2                SINGAPORE 738964</v>
      </c>
      <c r="G11" s="481"/>
      <c r="H11" s="482"/>
      <c r="J11" s="69" t="s">
        <v>9</v>
      </c>
      <c r="K11" s="504"/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118"/>
      <c r="L15" s="118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536" t="s">
        <v>53</v>
      </c>
      <c r="J17" s="537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296</v>
      </c>
      <c r="D18" s="461" t="e">
        <f>VLOOKUP(C18,'Sales Master'!B$3:D$530,2,)</f>
        <v>#N/A</v>
      </c>
      <c r="E18" s="461"/>
      <c r="F18" s="461"/>
      <c r="G18" s="17">
        <v>1</v>
      </c>
      <c r="H18" s="56" t="e">
        <f>VLOOKUP(C18,'Sales Master'!$B$3:$F$2481,5,0)</f>
        <v>#N/A</v>
      </c>
      <c r="I18" s="491" t="e">
        <f>VLOOKUP(C18,'Sales Master'!$B$3:$E$2481,4,0)</f>
        <v>#N/A</v>
      </c>
      <c r="J18" s="491"/>
      <c r="K18" s="30" t="e">
        <f>VLOOKUP(C18,'Sales Master'!B$3:J$530,9,0)</f>
        <v>#N/A</v>
      </c>
      <c r="L18" s="64" t="e">
        <f t="shared" ref="L18:L27" si="0">K18*G18</f>
        <v>#N/A</v>
      </c>
      <c r="M18" s="65"/>
    </row>
    <row r="19" spans="2:15" ht="20.149999999999999" customHeight="1" x14ac:dyDescent="0.45">
      <c r="B19" s="29"/>
      <c r="C19" s="17" t="s">
        <v>301</v>
      </c>
      <c r="D19" s="461" t="e">
        <f>VLOOKUP(C19,'Sales Master'!B$3:D$530,2,)</f>
        <v>#N/A</v>
      </c>
      <c r="E19" s="461"/>
      <c r="F19" s="461"/>
      <c r="G19" s="17">
        <v>2</v>
      </c>
      <c r="H19" s="56" t="e">
        <f>VLOOKUP(C19,'Sales Master'!$B$3:$F$2481,5,0)</f>
        <v>#N/A</v>
      </c>
      <c r="I19" s="491" t="e">
        <f>VLOOKUP(C19,'Sales Master'!$B$3:$E$2481,4,0)</f>
        <v>#N/A</v>
      </c>
      <c r="J19" s="491"/>
      <c r="K19" s="30" t="e">
        <f>VLOOKUP(C19,'Sales Master'!B$3:J$530,9,0)</f>
        <v>#N/A</v>
      </c>
      <c r="L19" s="64" t="e">
        <f t="shared" si="0"/>
        <v>#N/A</v>
      </c>
      <c r="M19" s="65"/>
    </row>
    <row r="20" spans="2:15" ht="20.149999999999999" customHeight="1" x14ac:dyDescent="0.45">
      <c r="B20" s="29"/>
      <c r="C20" s="17" t="s">
        <v>302</v>
      </c>
      <c r="D20" s="461" t="e">
        <f>VLOOKUP(C20,'Sales Master'!B$3:D$530,2,)</f>
        <v>#N/A</v>
      </c>
      <c r="E20" s="461"/>
      <c r="F20" s="461"/>
      <c r="G20" s="17">
        <v>2</v>
      </c>
      <c r="H20" s="56" t="e">
        <f>VLOOKUP(C20,'Sales Master'!$B$3:$F$2481,5,0)</f>
        <v>#N/A</v>
      </c>
      <c r="I20" s="491" t="e">
        <f>VLOOKUP(C20,'Sales Master'!$B$3:$E$2481,4,0)</f>
        <v>#N/A</v>
      </c>
      <c r="J20" s="491"/>
      <c r="K20" s="30" t="e">
        <f>VLOOKUP(C20,'Sales Master'!B$3:J$530,9,0)</f>
        <v>#N/A</v>
      </c>
      <c r="L20" s="64" t="e">
        <f t="shared" si="0"/>
        <v>#N/A</v>
      </c>
      <c r="M20" s="65"/>
    </row>
    <row r="21" spans="2:15" ht="20.149999999999999" customHeight="1" x14ac:dyDescent="0.45">
      <c r="B21" s="29"/>
      <c r="C21" s="17" t="s">
        <v>304</v>
      </c>
      <c r="D21" s="461" t="e">
        <f>VLOOKUP(C21,'Sales Master'!B$3:D$530,2,)</f>
        <v>#N/A</v>
      </c>
      <c r="E21" s="461"/>
      <c r="F21" s="461"/>
      <c r="G21" s="17">
        <v>1</v>
      </c>
      <c r="H21" s="56" t="e">
        <f>VLOOKUP(C21,'Sales Master'!$B$3:$F$2481,5,0)</f>
        <v>#N/A</v>
      </c>
      <c r="I21" s="491" t="e">
        <f>VLOOKUP(C21,'Sales Master'!$B$3:$E$2481,4,0)</f>
        <v>#N/A</v>
      </c>
      <c r="J21" s="491"/>
      <c r="K21" s="30" t="e">
        <f>VLOOKUP(C21,'Sales Master'!B$3:J$530,9,0)</f>
        <v>#N/A</v>
      </c>
      <c r="L21" s="64" t="e">
        <f t="shared" si="0"/>
        <v>#N/A</v>
      </c>
      <c r="M21" s="65"/>
    </row>
    <row r="22" spans="2:15" ht="20.149999999999999" customHeight="1" x14ac:dyDescent="0.45">
      <c r="B22" s="29"/>
      <c r="C22" s="17" t="s">
        <v>316</v>
      </c>
      <c r="D22" s="461" t="e">
        <f>VLOOKUP(C22,'Sales Master'!B$3:D$530,2,)</f>
        <v>#N/A</v>
      </c>
      <c r="E22" s="461"/>
      <c r="F22" s="461"/>
      <c r="G22" s="17">
        <v>1</v>
      </c>
      <c r="H22" s="56" t="e">
        <f>VLOOKUP(C22,'Sales Master'!$B$3:$F$2481,5,0)</f>
        <v>#N/A</v>
      </c>
      <c r="I22" s="491" t="e">
        <f>VLOOKUP(C22,'Sales Master'!$B$3:$E$2481,4,0)</f>
        <v>#N/A</v>
      </c>
      <c r="J22" s="491"/>
      <c r="K22" s="30" t="e">
        <f>VLOOKUP(C22,'Sales Master'!B$3:J$530,9,0)</f>
        <v>#N/A</v>
      </c>
      <c r="L22" s="64" t="e">
        <f t="shared" si="0"/>
        <v>#N/A</v>
      </c>
      <c r="M22" s="65"/>
    </row>
    <row r="23" spans="2:15" ht="20.149999999999999" customHeight="1" x14ac:dyDescent="0.45">
      <c r="B23" s="29"/>
      <c r="C23" s="17" t="s">
        <v>320</v>
      </c>
      <c r="D23" s="461" t="e">
        <f>VLOOKUP(C23,'Sales Master'!B$3:D$530,2,)</f>
        <v>#N/A</v>
      </c>
      <c r="E23" s="461"/>
      <c r="F23" s="461"/>
      <c r="G23" s="17">
        <v>1</v>
      </c>
      <c r="H23" s="56" t="e">
        <f>VLOOKUP(C23,'Sales Master'!$B$3:$F$2481,5,0)</f>
        <v>#N/A</v>
      </c>
      <c r="I23" s="491" t="e">
        <f>VLOOKUP(C23,'Sales Master'!$B$3:$E$2481,4,0)</f>
        <v>#N/A</v>
      </c>
      <c r="J23" s="491"/>
      <c r="K23" s="30" t="e">
        <f>VLOOKUP(C23,'Sales Master'!B$3:J$530,9,0)</f>
        <v>#N/A</v>
      </c>
      <c r="L23" s="64" t="e">
        <f t="shared" si="0"/>
        <v>#N/A</v>
      </c>
      <c r="M23" s="65"/>
    </row>
    <row r="24" spans="2:15" ht="20.149999999999999" customHeight="1" x14ac:dyDescent="0.45">
      <c r="B24" s="29"/>
      <c r="C24" s="130" t="s">
        <v>313</v>
      </c>
      <c r="D24" s="461" t="e">
        <f>VLOOKUP(C24,'Sales Master'!B$3:D$530,2,)</f>
        <v>#N/A</v>
      </c>
      <c r="E24" s="461"/>
      <c r="F24" s="461"/>
      <c r="G24" s="17">
        <v>6</v>
      </c>
      <c r="H24" s="56" t="e">
        <f>VLOOKUP(C24,'Sales Master'!$B$3:$F$2481,5,0)</f>
        <v>#N/A</v>
      </c>
      <c r="I24" s="491" t="e">
        <f>VLOOKUP(C24,'Sales Master'!$B$3:$E$2481,4,0)</f>
        <v>#N/A</v>
      </c>
      <c r="J24" s="491"/>
      <c r="K24" s="30" t="e">
        <f>VLOOKUP(C24,'Sales Master'!B$3:J$530,9,0)</f>
        <v>#N/A</v>
      </c>
      <c r="L24" s="64" t="e">
        <f t="shared" si="0"/>
        <v>#N/A</v>
      </c>
      <c r="M24" s="65"/>
    </row>
    <row r="25" spans="2:15" ht="20.149999999999999" customHeight="1" x14ac:dyDescent="0.45">
      <c r="B25" s="29"/>
      <c r="C25" s="17" t="s">
        <v>314</v>
      </c>
      <c r="D25" s="461" t="e">
        <f>VLOOKUP(C25,'Sales Master'!B$3:D$530,2,)</f>
        <v>#N/A</v>
      </c>
      <c r="E25" s="461"/>
      <c r="F25" s="461"/>
      <c r="G25" s="17">
        <v>1</v>
      </c>
      <c r="H25" s="56" t="e">
        <f>VLOOKUP(C25,'Sales Master'!$B$3:$F$2481,5,0)</f>
        <v>#N/A</v>
      </c>
      <c r="I25" s="491" t="e">
        <f>VLOOKUP(C25,'Sales Master'!$B$3:$E$2481,4,0)</f>
        <v>#N/A</v>
      </c>
      <c r="J25" s="491"/>
      <c r="K25" s="30" t="e">
        <f>VLOOKUP(C25,'Sales Master'!B$3:J$530,9,0)</f>
        <v>#N/A</v>
      </c>
      <c r="L25" s="64" t="e">
        <f t="shared" si="0"/>
        <v>#N/A</v>
      </c>
      <c r="M25" s="65"/>
    </row>
    <row r="26" spans="2:15" ht="20.149999999999999" customHeight="1" x14ac:dyDescent="0.45">
      <c r="B26" s="29"/>
      <c r="C26" s="17" t="s">
        <v>342</v>
      </c>
      <c r="D26" s="461" t="e">
        <f>VLOOKUP(C26,'Sales Master'!B$3:D$530,2,)</f>
        <v>#N/A</v>
      </c>
      <c r="E26" s="461"/>
      <c r="F26" s="461"/>
      <c r="G26" s="17">
        <v>10</v>
      </c>
      <c r="H26" s="56" t="e">
        <f>VLOOKUP(C26,'Sales Master'!$B$3:$F$2481,5,0)</f>
        <v>#N/A</v>
      </c>
      <c r="I26" s="491" t="e">
        <f>VLOOKUP(C26,'Sales Master'!$B$3:$E$2481,4,0)</f>
        <v>#N/A</v>
      </c>
      <c r="J26" s="491"/>
      <c r="K26" s="30" t="e">
        <f>VLOOKUP(C26,'Sales Master'!B$3:J$530,9,0)</f>
        <v>#N/A</v>
      </c>
      <c r="L26" s="64" t="e">
        <f t="shared" si="0"/>
        <v>#N/A</v>
      </c>
      <c r="M26" s="65"/>
    </row>
    <row r="27" spans="2:15" ht="20.149999999999999" customHeight="1" x14ac:dyDescent="0.45">
      <c r="B27" s="29"/>
      <c r="C27" s="17" t="s">
        <v>344</v>
      </c>
      <c r="D27" s="461" t="e">
        <f>VLOOKUP(C27,'Sales Master'!B$3:D$530,2,)</f>
        <v>#N/A</v>
      </c>
      <c r="E27" s="461"/>
      <c r="F27" s="461"/>
      <c r="G27" s="17">
        <v>1</v>
      </c>
      <c r="H27" s="56" t="e">
        <f>VLOOKUP(C27,'Sales Master'!$B$3:$F$2481,5,0)</f>
        <v>#N/A</v>
      </c>
      <c r="I27" s="491" t="e">
        <f>VLOOKUP(C27,'Sales Master'!$B$3:$E$2481,4,0)</f>
        <v>#N/A</v>
      </c>
      <c r="J27" s="491"/>
      <c r="K27" s="30" t="e">
        <f>VLOOKUP(C27,'Sales Master'!B$3:J$530,9,0)</f>
        <v>#N/A</v>
      </c>
      <c r="L27" s="64" t="e">
        <f t="shared" si="0"/>
        <v>#N/A</v>
      </c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91"/>
      <c r="J29" s="491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91"/>
      <c r="J30" s="491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91"/>
      <c r="J31" s="491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91"/>
      <c r="J32" s="491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91"/>
      <c r="J33" s="491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91"/>
      <c r="J34" s="491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91"/>
      <c r="J35" s="491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91"/>
      <c r="J36" s="491"/>
      <c r="K36" s="30"/>
      <c r="L36" s="64"/>
      <c r="M36" s="65"/>
    </row>
    <row r="37" spans="2:13" ht="20.149999999999999" customHeight="1" x14ac:dyDescent="0.45">
      <c r="B37" s="104"/>
      <c r="C37" s="105"/>
      <c r="D37" s="454"/>
      <c r="E37" s="454"/>
      <c r="F37" s="454"/>
      <c r="G37" s="105"/>
      <c r="H37" s="124"/>
      <c r="I37" s="535"/>
      <c r="J37" s="535"/>
      <c r="K37" s="120"/>
      <c r="L37" s="98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55" t="s">
        <v>13</v>
      </c>
      <c r="K39" s="456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57" t="s">
        <v>19</v>
      </c>
      <c r="K41" s="458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72"/>
      <c r="J43" s="459" t="s">
        <v>21</v>
      </c>
      <c r="K43" s="460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690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ht="20.149999999999999" customHeight="1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N49"/>
  <sheetViews>
    <sheetView topLeftCell="A22" zoomScaleNormal="100" workbookViewId="0">
      <selection activeCell="C31" sqref="C31:K3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174</v>
      </c>
      <c r="J10" s="68" t="s">
        <v>27</v>
      </c>
      <c r="K10" s="493">
        <v>202501211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   632, Bukit Batok Central #01-132 Singapore 650632                                                </v>
      </c>
      <c r="G11" s="481"/>
      <c r="H11" s="482"/>
      <c r="J11" s="69" t="s">
        <v>9</v>
      </c>
      <c r="K11" s="495">
        <v>45666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131" t="s">
        <v>650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197" t="s">
        <v>29</v>
      </c>
      <c r="I17" s="538" t="s">
        <v>53</v>
      </c>
      <c r="J17" s="539"/>
      <c r="K17" s="9" t="s">
        <v>5</v>
      </c>
      <c r="L17" s="9" t="s">
        <v>6</v>
      </c>
    </row>
    <row r="18" spans="2:14" ht="20.149999999999999" customHeight="1" x14ac:dyDescent="0.45">
      <c r="B18" s="29"/>
      <c r="C18" s="212" t="s">
        <v>726</v>
      </c>
      <c r="D18" s="501" t="str">
        <f>VLOOKUP(C18,'Sales Master'!B$3:D$530,2,)</f>
        <v>Durian Puree 榴莲酱</v>
      </c>
      <c r="E18" s="501"/>
      <c r="F18" s="501"/>
      <c r="G18" s="76">
        <v>1</v>
      </c>
      <c r="H18" s="196" t="str">
        <f>VLOOKUP(C18,'Sales Master'!$B$3:$F$2481,5,0)</f>
        <v>1 KG/ Box盒</v>
      </c>
      <c r="I18" s="462" t="str">
        <f>VLOOKUP(C18,'Sales Master'!$B$3:$E$2481,4,0)</f>
        <v>DO!</v>
      </c>
      <c r="J18" s="462"/>
      <c r="K18" s="83">
        <f>VLOOKUP(C18,'Sales Master'!B$3:BX$530,75,0)</f>
        <v>7</v>
      </c>
      <c r="L18" s="64">
        <f t="shared" ref="L18" si="0">K18*G18</f>
        <v>7</v>
      </c>
      <c r="M18" s="65"/>
      <c r="N18" s="76"/>
    </row>
    <row r="19" spans="2:14" ht="20.149999999999999" customHeight="1" x14ac:dyDescent="0.45">
      <c r="B19" s="29"/>
      <c r="C19" s="212" t="s">
        <v>799</v>
      </c>
      <c r="D19" s="505" t="str">
        <f>VLOOKUP(C19,'Sales Master'!B$3:D$530,2,)</f>
        <v>Sweet Potato Powder 番薯粉</v>
      </c>
      <c r="E19" s="505"/>
      <c r="F19" s="505"/>
      <c r="G19" s="76">
        <v>1</v>
      </c>
      <c r="H19" s="196" t="str">
        <f>VLOOKUP(C19,'Sales Master'!$B$3:$F$2481,5,0)</f>
        <v>3 kgs</v>
      </c>
      <c r="I19" s="462" t="str">
        <f>VLOOKUP(C19,'Sales Master'!$B$3:$E$2481,4,0)</f>
        <v>RE-PACK</v>
      </c>
      <c r="J19" s="462"/>
      <c r="K19" s="83">
        <f>VLOOKUP(C19,'Sales Master'!B$3:BX$530,75,0)</f>
        <v>10.5</v>
      </c>
      <c r="L19" s="64">
        <f>K19*G19</f>
        <v>10.5</v>
      </c>
      <c r="M19" s="65"/>
    </row>
    <row r="20" spans="2:14" ht="20.149999999999999" customHeight="1" x14ac:dyDescent="0.45">
      <c r="B20" s="29"/>
      <c r="C20" s="212" t="s">
        <v>829</v>
      </c>
      <c r="D20" s="501" t="str">
        <f>VLOOKUP(C20,'Sales Master'!B$3:D$530,2,)</f>
        <v>Atap Seeds in Syrup 亚嗒子</v>
      </c>
      <c r="E20" s="501"/>
      <c r="F20" s="501"/>
      <c r="G20" s="76">
        <v>2</v>
      </c>
      <c r="H20" s="196" t="str">
        <f>VLOOKUP(C20,'Sales Master'!$B$3:$F$2481,5,0)</f>
        <v>NW(1.6:0.6) 2.2kg/ Bag包</v>
      </c>
      <c r="I20" s="462" t="str">
        <f>VLOOKUP(C20,'Sales Master'!$B$3:$E$2481,4,0)</f>
        <v>DO!</v>
      </c>
      <c r="J20" s="462"/>
      <c r="K20" s="83">
        <f>VLOOKUP(C20,'Sales Master'!B$3:BX$530,75,0)</f>
        <v>9.5</v>
      </c>
      <c r="L20" s="64">
        <f>K20*G20</f>
        <v>19</v>
      </c>
      <c r="M20" s="65"/>
    </row>
    <row r="21" spans="2:14" ht="20" customHeight="1" x14ac:dyDescent="0.45">
      <c r="B21" s="29"/>
      <c r="C21" s="212" t="s">
        <v>841</v>
      </c>
      <c r="D21" s="501" t="str">
        <f>VLOOKUP(C21,'Sales Master'!B$3:D$530,2,)</f>
        <v>Small Red Bean 小红豆</v>
      </c>
      <c r="E21" s="501"/>
      <c r="F21" s="501"/>
      <c r="G21" s="76">
        <v>3</v>
      </c>
      <c r="H21" s="196" t="str">
        <f>VLOOKUP(C21,'Sales Master'!$B$3:$F$2481,5,0)</f>
        <v>5 KG</v>
      </c>
      <c r="I21" s="462" t="str">
        <f>VLOOKUP(C21,'Sales Master'!$B$3:$E$2481,4,0)</f>
        <v>-</v>
      </c>
      <c r="J21" s="462"/>
      <c r="K21" s="83">
        <f>VLOOKUP(C21,'Sales Master'!B$3:BX$530,75,0)</f>
        <v>17.5</v>
      </c>
      <c r="L21" s="64">
        <f>K21*G21</f>
        <v>52.5</v>
      </c>
      <c r="M21" s="65"/>
    </row>
    <row r="22" spans="2:14" ht="20.149999999999999" customHeight="1" x14ac:dyDescent="0.45">
      <c r="B22" s="29"/>
      <c r="C22" s="212" t="s">
        <v>849</v>
      </c>
      <c r="D22" s="501" t="str">
        <f>VLOOKUP(C22,'Sales Master'!B$3:D$530,2,)</f>
        <v>Green Bean 绿豆</v>
      </c>
      <c r="E22" s="501"/>
      <c r="F22" s="501"/>
      <c r="G22" s="76">
        <v>2</v>
      </c>
      <c r="H22" s="196" t="str">
        <f>VLOOKUP(C22,'Sales Master'!$B$3:$F$2481,5,0)</f>
        <v>5 KG</v>
      </c>
      <c r="I22" s="462" t="str">
        <f>VLOOKUP(C22,'Sales Master'!$B$3:$E$2481,4,0)</f>
        <v>-</v>
      </c>
      <c r="J22" s="462"/>
      <c r="K22" s="83">
        <f>VLOOKUP(C22,'Sales Master'!B$3:BX$530,75,0)</f>
        <v>13</v>
      </c>
      <c r="L22" s="64">
        <f>K22*G22</f>
        <v>26</v>
      </c>
      <c r="M22" s="65"/>
    </row>
    <row r="23" spans="2:14" ht="20.149999999999999" customHeight="1" x14ac:dyDescent="0.45">
      <c r="B23" s="29"/>
      <c r="C23" s="212" t="s">
        <v>861</v>
      </c>
      <c r="D23" s="501" t="str">
        <f>VLOOKUP(C23,'Sales Master'!B$3:D$530,2,)</f>
        <v>Black Glutinous Rice 黑糯米</v>
      </c>
      <c r="E23" s="501"/>
      <c r="F23" s="501"/>
      <c r="G23" s="76">
        <v>1</v>
      </c>
      <c r="H23" s="196" t="str">
        <f>VLOOKUP(C23,'Sales Master'!$B$3:$F$2481,5,0)</f>
        <v>5 KGS</v>
      </c>
      <c r="I23" s="462" t="str">
        <f>VLOOKUP(C23,'Sales Master'!$B$3:$E$2481,4,0)</f>
        <v>-</v>
      </c>
      <c r="J23" s="462"/>
      <c r="K23" s="83">
        <f>VLOOKUP(C23,'Sales Master'!B$3:BX$530,75,0)</f>
        <v>18</v>
      </c>
      <c r="L23" s="64">
        <f t="shared" ref="L23" si="1">K23*G23</f>
        <v>18</v>
      </c>
      <c r="M23" s="65"/>
    </row>
    <row r="24" spans="2:14" ht="20" customHeight="1" x14ac:dyDescent="0.45">
      <c r="B24" s="29"/>
      <c r="C24" s="212" t="s">
        <v>886</v>
      </c>
      <c r="D24" s="501" t="str">
        <f>VLOOKUP(C24,'Sales Master'!B$3:D$530,2,)</f>
        <v>Fungus黄 木耳朵</v>
      </c>
      <c r="E24" s="501"/>
      <c r="F24" s="501"/>
      <c r="G24" s="76">
        <v>1</v>
      </c>
      <c r="H24" s="196" t="str">
        <f>VLOOKUP(C24,'Sales Master'!$B$3:$F$2481,5,0)</f>
        <v>1 kg</v>
      </c>
      <c r="I24" s="462" t="str">
        <f>VLOOKUP(C24,'Sales Master'!$B$3:$E$2481,4,0)</f>
        <v>黄</v>
      </c>
      <c r="J24" s="462"/>
      <c r="K24" s="83">
        <f>VLOOKUP(C24,'Sales Master'!B$3:BX$530,75,0)</f>
        <v>16</v>
      </c>
      <c r="L24" s="64">
        <f>K24*G24</f>
        <v>16</v>
      </c>
      <c r="M24" s="65"/>
    </row>
    <row r="25" spans="2:14" ht="20.149999999999999" customHeight="1" x14ac:dyDescent="0.45">
      <c r="B25" s="29"/>
      <c r="C25" s="212" t="s">
        <v>980</v>
      </c>
      <c r="D25" s="501" t="str">
        <f>VLOOKUP(C25,'Sales Master'!B$3:D$530,2,)</f>
        <v>GingKo Nut 白果罐</v>
      </c>
      <c r="E25" s="501"/>
      <c r="F25" s="501"/>
      <c r="G25" s="76">
        <v>1</v>
      </c>
      <c r="H25" s="196" t="str">
        <f>VLOOKUP(C25,'Sales Master'!$B$3:$F$2481,5,0)</f>
        <v>397 GM x 24/ Ctn箱</v>
      </c>
      <c r="I25" s="462" t="str">
        <f>VLOOKUP(C25,'Sales Master'!$B$3:$E$2481,4,0)</f>
        <v>MiLi</v>
      </c>
      <c r="J25" s="462"/>
      <c r="K25" s="83">
        <f>VLOOKUP(C25,'Sales Master'!B$3:BX$530,75,0)</f>
        <v>32</v>
      </c>
      <c r="L25" s="64">
        <f>K25*G25</f>
        <v>32</v>
      </c>
      <c r="M25" s="65"/>
    </row>
    <row r="26" spans="2:14" ht="20.149999999999999" customHeight="1" x14ac:dyDescent="0.45">
      <c r="B26" s="29"/>
      <c r="C26" s="212" t="s">
        <v>990</v>
      </c>
      <c r="D26" s="501" t="str">
        <f>VLOOKUP(C26,'Sales Master'!B$3:D$530,2,)</f>
        <v>Coconut Milk 椰浆</v>
      </c>
      <c r="E26" s="501"/>
      <c r="F26" s="501"/>
      <c r="G26" s="76">
        <v>1</v>
      </c>
      <c r="H26" s="196" t="str">
        <f>VLOOKUP(C26,'Sales Master'!$B$3:$F$2481,5,0)</f>
        <v>(1L x 12bag)/箱</v>
      </c>
      <c r="I26" s="462" t="str">
        <f>VLOOKUP(C26,'Sales Master'!$B$3:$E$2481,4,0)</f>
        <v>Kara UHT</v>
      </c>
      <c r="J26" s="462"/>
      <c r="K26" s="83">
        <f>VLOOKUP(C26,'Sales Master'!B$3:BX$530,75,0)</f>
        <v>42</v>
      </c>
      <c r="L26" s="64">
        <f t="shared" ref="L26" si="2">K26*G26</f>
        <v>42</v>
      </c>
      <c r="M26" s="65"/>
    </row>
    <row r="27" spans="2:14" ht="20" customHeight="1" x14ac:dyDescent="0.45">
      <c r="B27" s="29"/>
      <c r="C27" s="212" t="s">
        <v>1033</v>
      </c>
      <c r="D27" s="501" t="str">
        <f>VLOOKUP(C27,'Sales Master'!B$3:D$530,2,)</f>
        <v>Pandan Leaf 班兰叶</v>
      </c>
      <c r="E27" s="501"/>
      <c r="F27" s="501"/>
      <c r="G27" s="76">
        <v>5</v>
      </c>
      <c r="H27" s="196" t="str">
        <f>VLOOKUP(C27,'Sales Master'!$B$3:$F$2481,5,0)</f>
        <v>1 KG</v>
      </c>
      <c r="I27" s="462" t="str">
        <f>VLOOKUP(C27,'Sales Master'!$B$3:$E$2481,4,0)</f>
        <v>-</v>
      </c>
      <c r="J27" s="462"/>
      <c r="K27" s="83">
        <f>VLOOKUP(C27,'Sales Master'!B$3:BX$530,75,0)</f>
        <v>1.8</v>
      </c>
      <c r="L27" s="64">
        <f t="shared" ref="L27" si="3">K27*G27</f>
        <v>9</v>
      </c>
      <c r="M27" s="65"/>
    </row>
    <row r="28" spans="2:14" ht="20.149999999999999" customHeight="1" x14ac:dyDescent="0.45">
      <c r="B28" s="29"/>
      <c r="C28" s="212" t="s">
        <v>1034</v>
      </c>
      <c r="D28" s="501" t="str">
        <f>VLOOKUP(C28,'Sales Master'!B$3:D$530,2,)</f>
        <v>Lime 酸甘</v>
      </c>
      <c r="E28" s="501"/>
      <c r="F28" s="501"/>
      <c r="G28" s="76">
        <v>1</v>
      </c>
      <c r="H28" s="196" t="str">
        <f>VLOOKUP(C28,'Sales Master'!$B$3:$F$2481,5,0)</f>
        <v>1 KG</v>
      </c>
      <c r="I28" s="462" t="str">
        <f>VLOOKUP(C28,'Sales Master'!$B$3:$E$2481,4,0)</f>
        <v>-</v>
      </c>
      <c r="J28" s="462"/>
      <c r="K28" s="83">
        <f>VLOOKUP(C28,'Sales Master'!B$3:BX$530,75,0)</f>
        <v>2.8</v>
      </c>
      <c r="L28" s="64">
        <f>K28*G28</f>
        <v>2.8</v>
      </c>
      <c r="M28" s="65"/>
    </row>
    <row r="29" spans="2:14" ht="20.149999999999999" customHeight="1" x14ac:dyDescent="0.45">
      <c r="B29" s="29"/>
      <c r="C29" s="212"/>
      <c r="D29" s="501"/>
      <c r="E29" s="501"/>
      <c r="F29" s="501"/>
      <c r="G29" s="76"/>
      <c r="H29" s="196"/>
      <c r="I29" s="462"/>
      <c r="J29" s="462"/>
      <c r="K29" s="83"/>
      <c r="L29" s="64"/>
      <c r="M29" s="65"/>
    </row>
    <row r="30" spans="2:14" ht="20.149999999999999" customHeight="1" x14ac:dyDescent="0.45">
      <c r="B30" s="29"/>
      <c r="C30" s="212"/>
      <c r="D30" s="505"/>
      <c r="E30" s="505"/>
      <c r="F30" s="505"/>
      <c r="G30" s="76"/>
      <c r="H30" s="196"/>
      <c r="I30" s="462"/>
      <c r="J30" s="462"/>
      <c r="K30" s="83"/>
      <c r="L30" s="64"/>
      <c r="M30" s="65"/>
    </row>
    <row r="31" spans="2:14" ht="20" customHeight="1" x14ac:dyDescent="0.45">
      <c r="B31" s="29"/>
      <c r="C31" s="149" t="s">
        <v>2317</v>
      </c>
      <c r="D31" s="403"/>
      <c r="E31" s="403"/>
      <c r="F31" s="403"/>
      <c r="G31" s="76"/>
      <c r="H31" s="186"/>
      <c r="I31" s="497"/>
      <c r="J31" s="497"/>
      <c r="K31" s="190"/>
      <c r="L31" s="64"/>
      <c r="M31" s="65"/>
    </row>
    <row r="32" spans="2:14" ht="20" customHeight="1" x14ac:dyDescent="0.45">
      <c r="B32" s="29"/>
      <c r="C32" s="212" t="s">
        <v>990</v>
      </c>
      <c r="D32" s="501" t="str">
        <f>VLOOKUP(C32,'[3]Sales Master'!B$3:D$663,2,0)</f>
        <v>Coconut Milk 椰浆</v>
      </c>
      <c r="E32" s="501"/>
      <c r="F32" s="501"/>
      <c r="G32" s="17">
        <v>1</v>
      </c>
      <c r="H32" s="186" t="str">
        <f>VLOOKUP(C32,'[3]Sales Master'!B$3:F$955,5,0)</f>
        <v>(1L x 12bag)/箱</v>
      </c>
      <c r="I32" s="497" t="str">
        <f>VLOOKUP(C32,'[3]Sales Master'!B$3:E$955,4,0)</f>
        <v>Kara UHT</v>
      </c>
      <c r="J32" s="497"/>
      <c r="K32" s="190">
        <v>48</v>
      </c>
      <c r="L32" s="64"/>
      <c r="M32" s="65"/>
    </row>
    <row r="33" spans="2:13" ht="20" customHeight="1" x14ac:dyDescent="0.45">
      <c r="B33" s="29"/>
      <c r="C33" s="212"/>
      <c r="D33" s="147"/>
      <c r="E33" s="147"/>
      <c r="F33" s="147"/>
      <c r="G33" s="76"/>
      <c r="H33" s="196"/>
      <c r="I33" s="209"/>
      <c r="J33" s="209"/>
      <c r="K33" s="83"/>
      <c r="L33" s="64"/>
      <c r="M33" s="65"/>
    </row>
    <row r="34" spans="2:13" ht="20.149999999999999" customHeight="1" thickBot="1" x14ac:dyDescent="0.5">
      <c r="B34" s="32"/>
      <c r="C34" s="33"/>
      <c r="D34" s="166"/>
      <c r="E34" s="166"/>
      <c r="F34" s="166"/>
      <c r="G34" s="167"/>
      <c r="H34" s="168"/>
      <c r="I34" s="168"/>
      <c r="J34" s="168"/>
      <c r="K34" s="169"/>
      <c r="L34" s="75"/>
    </row>
    <row r="35" spans="2:13" ht="20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72"/>
      <c r="J36" s="455" t="s">
        <v>13</v>
      </c>
      <c r="K36" s="456"/>
      <c r="L36" s="38">
        <f>SUM(L18:L35)</f>
        <v>234.8</v>
      </c>
      <c r="M36" s="63">
        <f>SUM(P18:P35)-L36*0.02</f>
        <v>-4.6960000000000006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72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72"/>
      <c r="J38" s="457" t="s">
        <v>19</v>
      </c>
      <c r="K38" s="458"/>
      <c r="L38" s="41">
        <f>L36-L37</f>
        <v>234.8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72"/>
      <c r="J39" s="102" t="s">
        <v>15</v>
      </c>
      <c r="K39" s="103">
        <f>'Sales Master'!$B$1</f>
        <v>0.09</v>
      </c>
      <c r="L39" s="42">
        <f>L38*K39</f>
        <v>21.132000000000001</v>
      </c>
    </row>
    <row r="40" spans="2:13" ht="20.149999999999999" customHeight="1" thickBot="1" x14ac:dyDescent="0.5">
      <c r="B40" s="10" t="s">
        <v>700</v>
      </c>
      <c r="C40" s="6" t="s">
        <v>1175</v>
      </c>
      <c r="D40" s="6"/>
      <c r="E40" s="6"/>
      <c r="F40" s="6"/>
      <c r="G40" s="6"/>
      <c r="H40" s="6"/>
      <c r="I40" s="72"/>
      <c r="J40" s="459" t="s">
        <v>21</v>
      </c>
      <c r="K40" s="460"/>
      <c r="L40" s="43">
        <f>L38+L39</f>
        <v>255.93200000000002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144" t="s">
        <v>690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73"/>
      <c r="K46" s="45"/>
      <c r="L46" s="46"/>
    </row>
    <row r="47" spans="2:13" ht="20.149999999999999" customHeight="1" x14ac:dyDescent="0.45">
      <c r="B47" s="36" t="s">
        <v>25</v>
      </c>
      <c r="J47" s="67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74"/>
      <c r="J48" s="74"/>
      <c r="K48" s="48"/>
      <c r="L48" s="49"/>
    </row>
    <row r="49" spans="6:6" ht="20.5" x14ac:dyDescent="0.45">
      <c r="F49" s="202"/>
    </row>
  </sheetData>
  <mergeCells count="46">
    <mergeCell ref="I31:J31"/>
    <mergeCell ref="D32:F32"/>
    <mergeCell ref="I32:J32"/>
    <mergeCell ref="I22:J22"/>
    <mergeCell ref="D20:F20"/>
    <mergeCell ref="D18:F18"/>
    <mergeCell ref="I18:J18"/>
    <mergeCell ref="D26:F26"/>
    <mergeCell ref="I26:J26"/>
    <mergeCell ref="D27:F27"/>
    <mergeCell ref="D23:F23"/>
    <mergeCell ref="D25:F25"/>
    <mergeCell ref="D24:F24"/>
    <mergeCell ref="D22:F22"/>
    <mergeCell ref="D19:F19"/>
    <mergeCell ref="D28:F28"/>
    <mergeCell ref="I28:J28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4:D14"/>
    <mergeCell ref="D29:F29"/>
    <mergeCell ref="B15:D15"/>
    <mergeCell ref="D30:F30"/>
    <mergeCell ref="I21:J21"/>
    <mergeCell ref="J40:K40"/>
    <mergeCell ref="J36:K36"/>
    <mergeCell ref="J38:K38"/>
    <mergeCell ref="I24:J24"/>
    <mergeCell ref="I20:J20"/>
    <mergeCell ref="I27:J27"/>
    <mergeCell ref="I19:J19"/>
    <mergeCell ref="I30:J30"/>
    <mergeCell ref="I23:J23"/>
    <mergeCell ref="I25:J25"/>
    <mergeCell ref="I29:J29"/>
    <mergeCell ref="D21:F21"/>
  </mergeCells>
  <conditionalFormatting sqref="C31">
    <cfRule type="duplicateValues" dxfId="202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43"/>
  <sheetViews>
    <sheetView topLeftCell="A2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175</v>
      </c>
      <c r="J10" s="68" t="s">
        <v>27</v>
      </c>
      <c r="K10" s="493">
        <v>202501214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81"/>
      <c r="H11" s="482"/>
      <c r="J11" s="69" t="s">
        <v>9</v>
      </c>
      <c r="K11" s="495">
        <v>45666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  <c r="N13" s="19" t="s">
        <v>961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468"/>
      <c r="L15" s="469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17">
        <v>1</v>
      </c>
      <c r="H18" s="186" t="str">
        <f>VLOOKUP(C18,'Sales Master'!$B$3:$F$2413,5,0)</f>
        <v>5 KG</v>
      </c>
      <c r="I18" s="497" t="str">
        <f>VLOOKUP(C18,'Sales Master'!$B$3:$F$2413,4,0)</f>
        <v>-</v>
      </c>
      <c r="J18" s="497"/>
      <c r="K18" s="30">
        <f>VLOOKUP(C18,'Sales Master'!B$3:J$530,9,0)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953</v>
      </c>
      <c r="D19" s="461" t="str">
        <f>VLOOKUP(C19,'Sales Master'!B$3:D$530,2,)</f>
        <v>Aloe Vera 芦荟 10mm</v>
      </c>
      <c r="E19" s="461"/>
      <c r="F19" s="461"/>
      <c r="G19" s="17">
        <v>1</v>
      </c>
      <c r="H19" s="186" t="str">
        <f>VLOOKUP(C19,'Sales Master'!$B$3:$F$2413,5,0)</f>
        <v>1 Can X A10</v>
      </c>
      <c r="I19" s="497" t="str">
        <f>VLOOKUP(C19,'Sales Master'!$B$3:$F$2413,4,0)</f>
        <v>Chefs</v>
      </c>
      <c r="J19" s="497"/>
      <c r="K19" s="30">
        <f>VLOOKUP(C19,'Sales Master'!B$3:J$530,9,0)</f>
        <v>10</v>
      </c>
      <c r="L19" s="64">
        <f>K19*G19</f>
        <v>10</v>
      </c>
      <c r="M19" s="65"/>
    </row>
    <row r="20" spans="2:16" ht="20.149999999999999" customHeight="1" x14ac:dyDescent="0.45">
      <c r="B20" s="29"/>
      <c r="C20" s="212" t="s">
        <v>961</v>
      </c>
      <c r="D20" s="461" t="str">
        <f>VLOOKUP(C20,'Sales Master'!B$3:D$530,2,)</f>
        <v>Lychee in Syrup 荔枝</v>
      </c>
      <c r="E20" s="461"/>
      <c r="F20" s="461"/>
      <c r="G20" s="17">
        <v>1</v>
      </c>
      <c r="H20" s="186" t="str">
        <f>VLOOKUP(C20,'Sales Master'!$B$3:$F$2413,5,0)</f>
        <v>12 CAN/CARTON</v>
      </c>
      <c r="I20" s="497" t="str">
        <f>VLOOKUP(C20,'Sales Master'!$B$3:$F$2413,4,0)</f>
        <v>Statue</v>
      </c>
      <c r="J20" s="497"/>
      <c r="K20" s="30">
        <f>VLOOKUP(C20,'Sales Master'!B$3:J$530,9,0)</f>
        <v>22</v>
      </c>
      <c r="L20" s="64">
        <f>K20*G20</f>
        <v>22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G22" s="17"/>
      <c r="H22" s="56"/>
      <c r="I22" s="56"/>
      <c r="J22" s="56"/>
      <c r="K22" s="30"/>
      <c r="L22" s="64"/>
    </row>
    <row r="23" spans="2:16" ht="20.149999999999999" customHeight="1" x14ac:dyDescent="0.45">
      <c r="B23" s="29"/>
      <c r="C23" s="17"/>
      <c r="G23" s="17"/>
      <c r="H23" s="56"/>
      <c r="I23" s="56"/>
      <c r="J23" s="56"/>
      <c r="K23" s="30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64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64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64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64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30"/>
      <c r="L28" s="64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524"/>
      <c r="J29" s="52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72"/>
      <c r="J31" s="455" t="s">
        <v>13</v>
      </c>
      <c r="K31" s="456"/>
      <c r="L31" s="38">
        <f>SUM(L18:L29)</f>
        <v>42</v>
      </c>
      <c r="M31" s="63">
        <f>SUM(P18:P28)-L31*0.02</f>
        <v>-0.84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72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72"/>
      <c r="J33" s="457" t="s">
        <v>19</v>
      </c>
      <c r="K33" s="458"/>
      <c r="L33" s="41">
        <f>L31-L32</f>
        <v>42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72"/>
      <c r="J34" s="102" t="s">
        <v>15</v>
      </c>
      <c r="K34" s="103">
        <f>'Sales Master'!$B$1</f>
        <v>0.09</v>
      </c>
      <c r="L34" s="42">
        <f>L33*K34</f>
        <v>3.78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72"/>
      <c r="J35" s="459" t="s">
        <v>21</v>
      </c>
      <c r="K35" s="460"/>
      <c r="L35" s="43">
        <f>L33+L34</f>
        <v>45.78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72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73"/>
      <c r="K41" s="45"/>
      <c r="L41" s="46"/>
    </row>
    <row r="42" spans="2:12" ht="20.149999999999999" customHeight="1" x14ac:dyDescent="0.45">
      <c r="B42" s="36" t="s">
        <v>25</v>
      </c>
      <c r="J42" s="67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74"/>
      <c r="J43" s="74"/>
      <c r="K43" s="48"/>
      <c r="L43" s="49"/>
    </row>
  </sheetData>
  <mergeCells count="38">
    <mergeCell ref="D25:F25"/>
    <mergeCell ref="D26:F26"/>
    <mergeCell ref="D27:F27"/>
    <mergeCell ref="D28:F28"/>
    <mergeCell ref="I24:J24"/>
    <mergeCell ref="I25:J25"/>
    <mergeCell ref="I26:J26"/>
    <mergeCell ref="J35:K35"/>
    <mergeCell ref="J31:K31"/>
    <mergeCell ref="J33:K33"/>
    <mergeCell ref="D18:F18"/>
    <mergeCell ref="I18:J18"/>
    <mergeCell ref="D20:F20"/>
    <mergeCell ref="I20:J20"/>
    <mergeCell ref="D19:F19"/>
    <mergeCell ref="I19:J19"/>
    <mergeCell ref="D21:F21"/>
    <mergeCell ref="I21:J21"/>
    <mergeCell ref="I27:J27"/>
    <mergeCell ref="I28:J28"/>
    <mergeCell ref="I29:J29"/>
    <mergeCell ref="D29:F29"/>
    <mergeCell ref="D24:F2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O52"/>
  <sheetViews>
    <sheetView topLeftCell="A23" zoomScaleNormal="100" workbookViewId="0">
      <selection activeCell="C35" sqref="C35:K3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4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176</v>
      </c>
      <c r="J10" s="68" t="s">
        <v>27</v>
      </c>
      <c r="K10" s="493">
        <v>202501213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81"/>
      <c r="H11" s="482"/>
      <c r="J11" s="69" t="s">
        <v>9</v>
      </c>
      <c r="K11" s="495">
        <v>45666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468"/>
      <c r="L15" s="469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5" ht="20" customHeight="1" x14ac:dyDescent="0.45">
      <c r="B18" s="29"/>
      <c r="C18" s="356" t="s">
        <v>722</v>
      </c>
      <c r="D18" s="461" t="str">
        <f>VLOOKUP(C18,'Sales Master'!B$3:D$530,2,)</f>
        <v xml:space="preserve">Fresh Soursop 红毛榴莲 </v>
      </c>
      <c r="E18" s="461"/>
      <c r="F18" s="461"/>
      <c r="G18" s="357">
        <v>1</v>
      </c>
      <c r="H18" s="358" t="str">
        <f>VLOOKUP(C18,'Sales Master'!$B$3:$F$2457,5,0)</f>
        <v>GW:5 KG/ Tub桶</v>
      </c>
      <c r="I18" s="540" t="str">
        <f>VLOOKUP(C18,'Sales Master'!$B$3:$E$2457,4,0)</f>
        <v>DO!</v>
      </c>
      <c r="J18" s="540"/>
      <c r="K18" s="359">
        <f>VLOOKUP(C18,'Sales Master'!B$3:AV$530,47,0)</f>
        <v>31</v>
      </c>
      <c r="L18" s="360">
        <f t="shared" ref="L18" si="0">K18*G18</f>
        <v>31</v>
      </c>
      <c r="M18" s="361"/>
      <c r="N18" s="19" t="s">
        <v>886</v>
      </c>
      <c r="O18" s="19" t="s">
        <v>551</v>
      </c>
    </row>
    <row r="19" spans="2:15" ht="20" customHeight="1" x14ac:dyDescent="0.45">
      <c r="B19" s="29"/>
      <c r="C19" s="356" t="s">
        <v>727</v>
      </c>
      <c r="D19" s="461" t="str">
        <f>VLOOKUP(C19,'Sales Master'!B$3:D$530,2,)</f>
        <v>Mango Puree 芒果酱</v>
      </c>
      <c r="E19" s="461"/>
      <c r="F19" s="461"/>
      <c r="G19" s="357">
        <v>3</v>
      </c>
      <c r="H19" s="358" t="str">
        <f>VLOOKUP(C19,'Sales Master'!$B$3:$F$2457,5,0)</f>
        <v>1 KG/ Box盒</v>
      </c>
      <c r="I19" s="540" t="str">
        <f>VLOOKUP(C19,'Sales Master'!$B$3:$E$2457,4,0)</f>
        <v>DO!</v>
      </c>
      <c r="J19" s="540"/>
      <c r="K19" s="359">
        <f>VLOOKUP(C19,'Sales Master'!B$3:AV$530,47,0)</f>
        <v>7</v>
      </c>
      <c r="L19" s="360">
        <f t="shared" ref="L19:L23" si="1">K19*G19</f>
        <v>21</v>
      </c>
      <c r="M19" s="361"/>
      <c r="N19" s="19" t="s">
        <v>980</v>
      </c>
      <c r="O19" s="19" t="s">
        <v>1467</v>
      </c>
    </row>
    <row r="20" spans="2:15" ht="20" customHeight="1" x14ac:dyDescent="0.45">
      <c r="B20" s="29"/>
      <c r="C20" s="356" t="s">
        <v>736</v>
      </c>
      <c r="D20" s="461" t="str">
        <f>VLOOKUP(C20,'Sales Master'!B$3:D$530,2,)</f>
        <v>Bobo ChaCha Cubes 摩摩喳喳</v>
      </c>
      <c r="E20" s="461"/>
      <c r="F20" s="461"/>
      <c r="G20" s="357">
        <v>4</v>
      </c>
      <c r="H20" s="358" t="str">
        <f>VLOOKUP(C20,'Sales Master'!$B$3:$F$2457,5,0)</f>
        <v>800 GM/ Bag包</v>
      </c>
      <c r="I20" s="540" t="str">
        <f>VLOOKUP(C20,'Sales Master'!$B$3:$E$2457,4,0)</f>
        <v>DO!</v>
      </c>
      <c r="J20" s="540"/>
      <c r="K20" s="359">
        <f>VLOOKUP(C20,'Sales Master'!B$3:AV$530,47,0)</f>
        <v>6</v>
      </c>
      <c r="L20" s="360">
        <f t="shared" ref="L20" si="2">K20*G20</f>
        <v>24</v>
      </c>
      <c r="M20" s="361"/>
      <c r="N20" s="19" t="s">
        <v>904</v>
      </c>
      <c r="O20" s="19" t="s">
        <v>408</v>
      </c>
    </row>
    <row r="21" spans="2:15" ht="20" customHeight="1" x14ac:dyDescent="0.45">
      <c r="B21" s="29"/>
      <c r="C21" s="356" t="s">
        <v>801</v>
      </c>
      <c r="D21" s="461" t="str">
        <f>VLOOKUP(C21,'Sales Master'!B$3:D$530,2,)</f>
        <v>Sweet Potato Powder 番薯粉</v>
      </c>
      <c r="E21" s="461"/>
      <c r="F21" s="461"/>
      <c r="G21" s="357">
        <v>1</v>
      </c>
      <c r="H21" s="358" t="str">
        <f>VLOOKUP(C21,'Sales Master'!$B$3:$F$2457,5,0)</f>
        <v>(500gm x 20Pkt)包</v>
      </c>
      <c r="I21" s="540" t="str">
        <f>VLOOKUP(C21,'Sales Master'!$B$3:$E$2457,4,0)</f>
        <v>RE-PACK</v>
      </c>
      <c r="J21" s="540"/>
      <c r="K21" s="359">
        <f>VLOOKUP(C21,'Sales Master'!B$3:AV$530,47,0)</f>
        <v>32</v>
      </c>
      <c r="L21" s="360">
        <f>K21*G21</f>
        <v>32</v>
      </c>
      <c r="M21" s="361"/>
    </row>
    <row r="22" spans="2:15" ht="20" customHeight="1" x14ac:dyDescent="0.45">
      <c r="B22" s="29"/>
      <c r="C22" s="356" t="s">
        <v>811</v>
      </c>
      <c r="D22" s="461" t="str">
        <f>VLOOKUP(C22,'Sales Master'!B$3:D$530,2,)</f>
        <v>Potato Starch 风车粉</v>
      </c>
      <c r="E22" s="461"/>
      <c r="F22" s="461"/>
      <c r="G22" s="357">
        <v>1</v>
      </c>
      <c r="H22" s="358" t="str">
        <f>VLOOKUP(C22,'Sales Master'!$B$3:$F$2457,5,0)</f>
        <v>350 GM x 24/ Ctn箱</v>
      </c>
      <c r="I22" s="540" t="str">
        <f>VLOOKUP(C22,'Sales Master'!$B$3:$E$2457,4,0)</f>
        <v>Windmill</v>
      </c>
      <c r="J22" s="540"/>
      <c r="K22" s="359">
        <f>VLOOKUP(C22,'Sales Master'!B$3:AV$530,47,0)</f>
        <v>41</v>
      </c>
      <c r="L22" s="360">
        <f>K22*G22</f>
        <v>41</v>
      </c>
      <c r="M22" s="361"/>
    </row>
    <row r="23" spans="2:15" ht="20" customHeight="1" x14ac:dyDescent="0.45">
      <c r="B23" s="29"/>
      <c r="C23" s="356" t="s">
        <v>829</v>
      </c>
      <c r="D23" s="461" t="str">
        <f>VLOOKUP(C23,'Sales Master'!B$3:D$530,2,)</f>
        <v>Atap Seeds in Syrup 亚嗒子</v>
      </c>
      <c r="E23" s="461"/>
      <c r="F23" s="461"/>
      <c r="G23" s="357">
        <v>2</v>
      </c>
      <c r="H23" s="358" t="str">
        <f>VLOOKUP(C23,'Sales Master'!$B$3:$F$2457,5,0)</f>
        <v>NW(1.6:0.6) 2.2kg/ Bag包</v>
      </c>
      <c r="I23" s="540" t="str">
        <f>VLOOKUP(C23,'Sales Master'!$B$3:$E$2457,4,0)</f>
        <v>DO!</v>
      </c>
      <c r="J23" s="540"/>
      <c r="K23" s="359">
        <f>VLOOKUP(C23,'Sales Master'!B$3:AV$530,47,0)</f>
        <v>9.5</v>
      </c>
      <c r="L23" s="360">
        <f t="shared" si="1"/>
        <v>19</v>
      </c>
      <c r="M23" s="361"/>
      <c r="N23" s="19" t="s">
        <v>1179</v>
      </c>
      <c r="O23" s="19" t="s">
        <v>1470</v>
      </c>
    </row>
    <row r="24" spans="2:15" ht="20" customHeight="1" x14ac:dyDescent="0.45">
      <c r="B24" s="29"/>
      <c r="C24" s="356" t="s">
        <v>836</v>
      </c>
      <c r="D24" s="461" t="str">
        <f>VLOOKUP(C24,'Sales Master'!B$3:D$530,2,)</f>
        <v>Red Bean 红豆 (5.5 mm)</v>
      </c>
      <c r="E24" s="461"/>
      <c r="F24" s="461"/>
      <c r="G24" s="357">
        <v>1</v>
      </c>
      <c r="H24" s="358" t="str">
        <f>VLOOKUP(C24,'Sales Master'!$B$3:$F$2457,5,0)</f>
        <v>5 KG</v>
      </c>
      <c r="I24" s="540" t="str">
        <f>VLOOKUP(C24,'Sales Master'!$B$3:$E$2457,4,0)</f>
        <v>-</v>
      </c>
      <c r="J24" s="540"/>
      <c r="K24" s="359">
        <f>VLOOKUP(C24,'Sales Master'!B$3:AV$530,47,0)</f>
        <v>17.5</v>
      </c>
      <c r="L24" s="360">
        <f t="shared" ref="L24:L29" si="3">K24*G24</f>
        <v>17.5</v>
      </c>
      <c r="M24" s="361"/>
    </row>
    <row r="25" spans="2:15" ht="20" customHeight="1" x14ac:dyDescent="0.45">
      <c r="B25" s="29"/>
      <c r="C25" s="356" t="s">
        <v>849</v>
      </c>
      <c r="D25" s="461" t="str">
        <f>VLOOKUP(C25,'Sales Master'!B$3:D$530,2,)</f>
        <v>Green Bean 绿豆</v>
      </c>
      <c r="E25" s="461"/>
      <c r="F25" s="461"/>
      <c r="G25" s="357">
        <v>1</v>
      </c>
      <c r="H25" s="358" t="str">
        <f>VLOOKUP(C25,'Sales Master'!$B$3:$F$2457,5,0)</f>
        <v>5 KG</v>
      </c>
      <c r="I25" s="540" t="str">
        <f>VLOOKUP(C25,'Sales Master'!$B$3:$E$2457,4,0)</f>
        <v>-</v>
      </c>
      <c r="J25" s="540"/>
      <c r="K25" s="359">
        <f>VLOOKUP(C25,'Sales Master'!B$3:AV$530,47,0)</f>
        <v>13</v>
      </c>
      <c r="L25" s="360">
        <f t="shared" si="3"/>
        <v>13</v>
      </c>
      <c r="M25" s="361"/>
    </row>
    <row r="26" spans="2:15" ht="20" customHeight="1" x14ac:dyDescent="0.45">
      <c r="B26" s="29"/>
      <c r="C26" s="356" t="s">
        <v>861</v>
      </c>
      <c r="D26" s="461" t="str">
        <f>VLOOKUP(C26,'Sales Master'!B$3:D$530,2,)</f>
        <v>Black Glutinous Rice 黑糯米</v>
      </c>
      <c r="E26" s="461"/>
      <c r="F26" s="461"/>
      <c r="G26" s="357">
        <v>2</v>
      </c>
      <c r="H26" s="358" t="str">
        <f>VLOOKUP(C26,'Sales Master'!$B$3:$F$2457,5,0)</f>
        <v>5 KGS</v>
      </c>
      <c r="I26" s="540" t="str">
        <f>VLOOKUP(C26,'Sales Master'!$B$3:$E$2457,4,0)</f>
        <v>-</v>
      </c>
      <c r="J26" s="540"/>
      <c r="K26" s="359">
        <f>VLOOKUP(C26,'Sales Master'!B$3:AV$530,47,0)</f>
        <v>18</v>
      </c>
      <c r="L26" s="360">
        <f t="shared" si="3"/>
        <v>36</v>
      </c>
      <c r="M26" s="361"/>
    </row>
    <row r="27" spans="2:15" ht="20" customHeight="1" x14ac:dyDescent="0.45">
      <c r="B27" s="29"/>
      <c r="C27" s="356" t="s">
        <v>883</v>
      </c>
      <c r="D27" s="461" t="str">
        <f>VLOOKUP(C27,'Sales Master'!B$3:D$530,2,)</f>
        <v>Dried Longan 龙眼干</v>
      </c>
      <c r="E27" s="461"/>
      <c r="F27" s="461"/>
      <c r="G27" s="357">
        <v>10</v>
      </c>
      <c r="H27" s="358" t="str">
        <f>VLOOKUP(C27,'Sales Master'!$B$3:$F$2457,5,0)</f>
        <v>1 kg</v>
      </c>
      <c r="I27" s="540" t="str">
        <f>VLOOKUP(C27,'Sales Master'!$B$3:$E$2457,4,0)</f>
        <v>中</v>
      </c>
      <c r="J27" s="540"/>
      <c r="K27" s="359">
        <f>VLOOKUP(C27,'Sales Master'!B$3:AV$530,47,0)</f>
        <v>12</v>
      </c>
      <c r="L27" s="360">
        <f t="shared" si="3"/>
        <v>120</v>
      </c>
      <c r="M27" s="361"/>
    </row>
    <row r="28" spans="2:15" ht="20" customHeight="1" x14ac:dyDescent="0.45">
      <c r="B28" s="29"/>
      <c r="C28" s="356" t="s">
        <v>886</v>
      </c>
      <c r="D28" s="461" t="str">
        <f>VLOOKUP(C28,'Sales Master'!B$3:D$530,2,)</f>
        <v>Fungus黄 木耳朵</v>
      </c>
      <c r="E28" s="461"/>
      <c r="F28" s="461"/>
      <c r="G28" s="357">
        <v>1</v>
      </c>
      <c r="H28" s="358" t="str">
        <f>VLOOKUP(C28,'Sales Master'!$B$3:$F$2457,5,0)</f>
        <v>1 kg</v>
      </c>
      <c r="I28" s="540" t="str">
        <f>VLOOKUP(C28,'Sales Master'!$B$3:$E$2457,4,0)</f>
        <v>黄</v>
      </c>
      <c r="J28" s="540"/>
      <c r="K28" s="359">
        <f>VLOOKUP(C28,'Sales Master'!B$3:AV$530,47,0)</f>
        <v>16</v>
      </c>
      <c r="L28" s="360">
        <f t="shared" si="3"/>
        <v>16</v>
      </c>
      <c r="M28" s="361"/>
      <c r="N28" s="19" t="s">
        <v>990</v>
      </c>
      <c r="O28" s="19" t="s">
        <v>264</v>
      </c>
    </row>
    <row r="29" spans="2:15" ht="20" customHeight="1" x14ac:dyDescent="0.45">
      <c r="B29" s="29"/>
      <c r="C29" s="356" t="s">
        <v>949</v>
      </c>
      <c r="D29" s="461" t="str">
        <f>VLOOKUP(C29,'Sales Master'!B$3:D$530,2,)</f>
        <v>Nata 椰果芊 15mm</v>
      </c>
      <c r="E29" s="461"/>
      <c r="F29" s="461"/>
      <c r="G29" s="357">
        <v>1</v>
      </c>
      <c r="H29" s="358" t="str">
        <f>VLOOKUP(C29,'Sales Master'!$B$3:$F$2457,5,0)</f>
        <v>1 Can X A10 /罐</v>
      </c>
      <c r="I29" s="540" t="str">
        <f>VLOOKUP(C29,'Sales Master'!$B$3:$E$2457,4,0)</f>
        <v>Chefs</v>
      </c>
      <c r="J29" s="540"/>
      <c r="K29" s="359">
        <f>VLOOKUP(C29,'Sales Master'!B$3:AV$530,47,0)</f>
        <v>9.5</v>
      </c>
      <c r="L29" s="360">
        <f t="shared" si="3"/>
        <v>9.5</v>
      </c>
      <c r="M29" s="361"/>
    </row>
    <row r="30" spans="2:15" ht="20" customHeight="1" x14ac:dyDescent="0.45">
      <c r="B30" s="29"/>
      <c r="C30" s="356" t="s">
        <v>990</v>
      </c>
      <c r="D30" s="461" t="str">
        <f>VLOOKUP(C30,'Sales Master'!B$3:D$530,2,)</f>
        <v>Coconut Milk 椰浆</v>
      </c>
      <c r="E30" s="461"/>
      <c r="F30" s="461"/>
      <c r="G30" s="357">
        <v>1</v>
      </c>
      <c r="H30" s="358" t="str">
        <f>VLOOKUP(C30,'Sales Master'!$B$3:$F$2457,5,0)</f>
        <v>(1L x 12bag)/箱</v>
      </c>
      <c r="I30" s="540" t="str">
        <f>VLOOKUP(C30,'Sales Master'!$B$3:$E$2457,4,0)</f>
        <v>Kara UHT</v>
      </c>
      <c r="J30" s="540"/>
      <c r="K30" s="359">
        <f>VLOOKUP(C30,'Sales Master'!B$3:AV$530,47,0)</f>
        <v>42</v>
      </c>
      <c r="L30" s="360">
        <f t="shared" ref="L30" si="4">K30*G30</f>
        <v>42</v>
      </c>
      <c r="M30" s="361"/>
      <c r="N30" s="19" t="s">
        <v>868</v>
      </c>
      <c r="O30" s="19" t="s">
        <v>247</v>
      </c>
    </row>
    <row r="31" spans="2:15" ht="20" customHeight="1" x14ac:dyDescent="0.45">
      <c r="B31" s="29"/>
      <c r="C31" s="356" t="s">
        <v>1206</v>
      </c>
      <c r="D31" s="461" t="str">
        <f>VLOOKUP(C31,'Sales Master'!B$3:D$530,2,)</f>
        <v>Water Chestnut 马蹄罐</v>
      </c>
      <c r="E31" s="461"/>
      <c r="F31" s="461"/>
      <c r="G31" s="357">
        <v>1</v>
      </c>
      <c r="H31" s="358" t="str">
        <f>VLOOKUP(C31,'Sales Master'!$B$3:$F$2457,5,0)</f>
        <v>(567gm x 24)/ Ctn箱</v>
      </c>
      <c r="I31" s="540" t="str">
        <f>VLOOKUP(C31,'Sales Master'!$B$3:$E$2457,4,0)</f>
        <v>GOLDEN CHAMP</v>
      </c>
      <c r="J31" s="540"/>
      <c r="K31" s="359">
        <f>VLOOKUP(C31,'Sales Master'!B$3:AV$530,47,0)</f>
        <v>34</v>
      </c>
      <c r="L31" s="360">
        <f>K31*G31</f>
        <v>34</v>
      </c>
      <c r="M31" s="361"/>
    </row>
    <row r="32" spans="2:15" ht="20" customHeight="1" x14ac:dyDescent="0.45">
      <c r="B32" s="29"/>
      <c r="C32" s="356" t="s">
        <v>1033</v>
      </c>
      <c r="D32" s="461" t="str">
        <f>VLOOKUP(C32,'Sales Master'!B$3:D$530,2,)</f>
        <v>Pandan Leaf 班兰叶</v>
      </c>
      <c r="E32" s="461"/>
      <c r="F32" s="461"/>
      <c r="G32" s="357">
        <v>2</v>
      </c>
      <c r="H32" s="358" t="str">
        <f>VLOOKUP(C32,'Sales Master'!$B$3:$F$2457,5,0)</f>
        <v>1 KG</v>
      </c>
      <c r="I32" s="540" t="str">
        <f>VLOOKUP(C32,'Sales Master'!$B$3:$E$2457,4,0)</f>
        <v>-</v>
      </c>
      <c r="J32" s="540"/>
      <c r="K32" s="359">
        <f>VLOOKUP(C32,'Sales Master'!B$3:AV$530,47,0)</f>
        <v>1.8</v>
      </c>
      <c r="L32" s="360">
        <f t="shared" ref="L32" si="5">K32*G32</f>
        <v>3.6</v>
      </c>
      <c r="M32" s="361"/>
    </row>
    <row r="33" spans="2:13" ht="20" customHeight="1" x14ac:dyDescent="0.45">
      <c r="B33" s="29"/>
      <c r="C33" s="356"/>
      <c r="D33" s="461"/>
      <c r="E33" s="461"/>
      <c r="F33" s="461"/>
      <c r="G33" s="357"/>
      <c r="H33" s="358"/>
      <c r="I33" s="540"/>
      <c r="J33" s="540"/>
      <c r="K33" s="359"/>
      <c r="L33" s="360"/>
      <c r="M33" s="361"/>
    </row>
    <row r="34" spans="2:13" ht="20" customHeight="1" x14ac:dyDescent="0.45">
      <c r="B34" s="29"/>
      <c r="C34" s="356"/>
      <c r="D34" s="461"/>
      <c r="E34" s="461"/>
      <c r="F34" s="461"/>
      <c r="G34" s="357"/>
      <c r="H34" s="358"/>
      <c r="I34" s="540"/>
      <c r="J34" s="540"/>
      <c r="K34" s="359"/>
      <c r="L34" s="360"/>
      <c r="M34" s="361"/>
    </row>
    <row r="35" spans="2:13" ht="20" customHeight="1" x14ac:dyDescent="0.45">
      <c r="B35" s="29"/>
      <c r="C35" s="149" t="s">
        <v>2317</v>
      </c>
      <c r="D35" s="403"/>
      <c r="E35" s="403"/>
      <c r="F35" s="403"/>
      <c r="G35" s="76"/>
      <c r="H35" s="186"/>
      <c r="I35" s="497"/>
      <c r="J35" s="497"/>
      <c r="K35" s="190"/>
      <c r="L35" s="360"/>
      <c r="M35" s="361"/>
    </row>
    <row r="36" spans="2:13" ht="20" customHeight="1" x14ac:dyDescent="0.45">
      <c r="B36" s="29"/>
      <c r="C36" s="212" t="s">
        <v>990</v>
      </c>
      <c r="D36" s="501" t="str">
        <f>VLOOKUP(C36,'[3]Sales Master'!B$3:D$663,2,0)</f>
        <v>Coconut Milk 椰浆</v>
      </c>
      <c r="E36" s="501"/>
      <c r="F36" s="501"/>
      <c r="G36" s="17">
        <v>1</v>
      </c>
      <c r="H36" s="186" t="str">
        <f>VLOOKUP(C36,'[3]Sales Master'!B$3:F$955,5,0)</f>
        <v>(1L x 12bag)/箱</v>
      </c>
      <c r="I36" s="497" t="str">
        <f>VLOOKUP(C36,'[3]Sales Master'!B$3:E$955,4,0)</f>
        <v>Kara UHT</v>
      </c>
      <c r="J36" s="497"/>
      <c r="K36" s="190">
        <v>48</v>
      </c>
      <c r="L36" s="360"/>
      <c r="M36" s="361"/>
    </row>
    <row r="37" spans="2:13" ht="20" customHeight="1" x14ac:dyDescent="0.45">
      <c r="B37" s="29"/>
      <c r="C37" s="356"/>
      <c r="D37" s="461"/>
      <c r="E37" s="461"/>
      <c r="F37" s="461"/>
      <c r="G37" s="357"/>
      <c r="H37" s="358"/>
      <c r="I37" s="540"/>
      <c r="J37" s="540"/>
      <c r="K37" s="359"/>
      <c r="L37" s="360"/>
      <c r="M37" s="361"/>
    </row>
    <row r="38" spans="2:13" ht="20.149999999999999" customHeight="1" x14ac:dyDescent="0.45">
      <c r="B38" s="29"/>
      <c r="C38" s="212"/>
      <c r="D38" s="461"/>
      <c r="E38" s="461"/>
      <c r="F38" s="461"/>
      <c r="G38" s="357"/>
      <c r="H38" s="358"/>
      <c r="I38" s="540"/>
      <c r="J38" s="540"/>
      <c r="K38" s="359"/>
      <c r="L38" s="360"/>
      <c r="M38" s="361"/>
    </row>
    <row r="39" spans="2:13" ht="20.149999999999999" customHeight="1" x14ac:dyDescent="0.45">
      <c r="B39" s="104"/>
      <c r="C39" s="105"/>
      <c r="D39" s="454"/>
      <c r="E39" s="454"/>
      <c r="F39" s="454"/>
      <c r="G39" s="105"/>
      <c r="H39" s="138"/>
      <c r="I39" s="514"/>
      <c r="J39" s="514"/>
      <c r="K39" s="106"/>
      <c r="L39" s="107"/>
    </row>
    <row r="40" spans="2:13" ht="20.149999999999999" customHeight="1" thickBot="1" x14ac:dyDescent="0.5">
      <c r="B40" s="36"/>
      <c r="L40" s="37"/>
    </row>
    <row r="41" spans="2:13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72"/>
      <c r="J41" s="455" t="s">
        <v>13</v>
      </c>
      <c r="K41" s="456"/>
      <c r="L41" s="38">
        <f>SUM(L18:L40)</f>
        <v>459.6</v>
      </c>
      <c r="M41" s="63">
        <f>SUM(P18:P40)-L41*0.02</f>
        <v>-9.1920000000000002</v>
      </c>
    </row>
    <row r="42" spans="2:13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72"/>
      <c r="J42" s="39" t="s">
        <v>20</v>
      </c>
      <c r="K42" s="40"/>
      <c r="L42" s="41">
        <f>L41*K42</f>
        <v>0</v>
      </c>
    </row>
    <row r="43" spans="2:13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72"/>
      <c r="J43" s="457" t="s">
        <v>19</v>
      </c>
      <c r="K43" s="458"/>
      <c r="L43" s="41">
        <f>L41-L42</f>
        <v>459.6</v>
      </c>
    </row>
    <row r="44" spans="2:13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72"/>
      <c r="J44" s="102" t="s">
        <v>15</v>
      </c>
      <c r="K44" s="103">
        <f>'Sales Master'!$B$1</f>
        <v>0.09</v>
      </c>
      <c r="L44" s="42">
        <f>L43*K44</f>
        <v>41.363999999999997</v>
      </c>
    </row>
    <row r="45" spans="2:13" ht="20.149999999999999" customHeight="1" thickBot="1" x14ac:dyDescent="0.5">
      <c r="B45" s="10" t="s">
        <v>23</v>
      </c>
      <c r="C45" s="6"/>
      <c r="D45" s="6"/>
      <c r="E45" s="6"/>
      <c r="F45" s="6"/>
      <c r="G45" s="6"/>
      <c r="H45" s="6"/>
      <c r="I45" s="72"/>
      <c r="J45" s="459" t="s">
        <v>21</v>
      </c>
      <c r="K45" s="460"/>
      <c r="L45" s="43">
        <f>L43+L44</f>
        <v>500.964</v>
      </c>
    </row>
    <row r="46" spans="2:13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72"/>
      <c r="L46" s="37"/>
    </row>
    <row r="47" spans="2:13" ht="20.149999999999999" customHeight="1" x14ac:dyDescent="0.45">
      <c r="B47" s="10"/>
      <c r="C47" s="6"/>
      <c r="D47" s="6"/>
      <c r="E47" s="6"/>
      <c r="F47" s="6"/>
      <c r="G47" s="6"/>
      <c r="H47" s="6"/>
      <c r="I47" s="72"/>
      <c r="L47" s="37"/>
    </row>
    <row r="48" spans="2:13" ht="20.149999999999999" customHeight="1" x14ac:dyDescent="0.45">
      <c r="B48" s="10"/>
      <c r="C48" s="6"/>
      <c r="D48" s="6"/>
      <c r="E48" s="6"/>
      <c r="F48" s="6"/>
      <c r="G48" s="6"/>
      <c r="H48" s="6"/>
      <c r="I48" s="72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73"/>
      <c r="K50" s="45"/>
      <c r="L50" s="37"/>
    </row>
    <row r="51" spans="2:12" ht="20.149999999999999" customHeight="1" x14ac:dyDescent="0.45">
      <c r="B51" s="36" t="s">
        <v>25</v>
      </c>
      <c r="J51" s="67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74"/>
      <c r="J52" s="74"/>
      <c r="K52" s="48"/>
      <c r="L52" s="49"/>
    </row>
  </sheetData>
  <mergeCells count="61">
    <mergeCell ref="D38:F38"/>
    <mergeCell ref="I38:J38"/>
    <mergeCell ref="D36:F36"/>
    <mergeCell ref="I36:J36"/>
    <mergeCell ref="D37:F37"/>
    <mergeCell ref="I37:J37"/>
    <mergeCell ref="I35:J35"/>
    <mergeCell ref="D34:F34"/>
    <mergeCell ref="I34:J34"/>
    <mergeCell ref="D33:F33"/>
    <mergeCell ref="I33:J33"/>
    <mergeCell ref="J45:K45"/>
    <mergeCell ref="J43:K43"/>
    <mergeCell ref="J41:K41"/>
    <mergeCell ref="D39:F39"/>
    <mergeCell ref="I39:J39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B13:D13"/>
    <mergeCell ref="K13:L13"/>
    <mergeCell ref="B15:D15"/>
    <mergeCell ref="I18:J18"/>
    <mergeCell ref="D18:F18"/>
    <mergeCell ref="D19:F19"/>
    <mergeCell ref="I19:J19"/>
    <mergeCell ref="I20:J20"/>
    <mergeCell ref="D20:F20"/>
    <mergeCell ref="I21:J21"/>
    <mergeCell ref="I22:J22"/>
    <mergeCell ref="D32:F32"/>
    <mergeCell ref="D29:F29"/>
    <mergeCell ref="D24:F24"/>
    <mergeCell ref="D25:F25"/>
    <mergeCell ref="D21:F21"/>
    <mergeCell ref="D30:F30"/>
    <mergeCell ref="I30:J30"/>
    <mergeCell ref="D28:F28"/>
    <mergeCell ref="I28:J28"/>
    <mergeCell ref="D23:F23"/>
    <mergeCell ref="I23:J23"/>
    <mergeCell ref="I31:J31"/>
    <mergeCell ref="I26:J26"/>
    <mergeCell ref="I27:J27"/>
    <mergeCell ref="D22:F22"/>
    <mergeCell ref="I32:J32"/>
    <mergeCell ref="I29:J29"/>
    <mergeCell ref="I24:J24"/>
    <mergeCell ref="I25:J25"/>
    <mergeCell ref="D31:F31"/>
    <mergeCell ref="D26:F26"/>
    <mergeCell ref="D27:F27"/>
  </mergeCells>
  <conditionalFormatting sqref="C35">
    <cfRule type="duplicateValues" dxfId="201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E40A-9FF6-4A2B-B0CC-E8A72C4B6444}">
  <sheetPr>
    <tabColor rgb="FFFFC000"/>
    <pageSetUpPr fitToPage="1"/>
  </sheetPr>
  <dimension ref="A1:R53"/>
  <sheetViews>
    <sheetView topLeftCell="A8" zoomScaleNormal="100" workbookViewId="0">
      <selection activeCell="D34" sqref="D34:F34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177</v>
      </c>
      <c r="J10" s="24" t="s">
        <v>27</v>
      </c>
      <c r="K10" s="493">
        <v>202501229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Drink &amp; Dessert Stall                                          CCK Lots1 Stall #15.                                            21 Choa Chu Kang Ave 4, #04-15.                   Lot One Shoppers Mall. Singapore 689812</v>
      </c>
      <c r="G11" s="481"/>
      <c r="H11" s="482"/>
      <c r="J11" s="26" t="s">
        <v>9</v>
      </c>
      <c r="K11" s="495">
        <v>45667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4500322239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2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13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8.120000000000001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Master'!A$3:B$530,2,0)</f>
        <v>M1004</v>
      </c>
      <c r="D19" s="461" t="str">
        <f>VLOOKUP(C19,'Sales Master'!B$3:D$530,2,)</f>
        <v>Mango Puree 芒果酱</v>
      </c>
      <c r="E19" s="461"/>
      <c r="F19" s="461"/>
      <c r="G19" s="76">
        <v>3</v>
      </c>
      <c r="H19" s="247" t="str">
        <f>VLOOKUP(C19,'Sales Master'!$B$3:$F$2413,5,0)</f>
        <v>1 KG/ Box盒</v>
      </c>
      <c r="I19" s="462" t="str">
        <f>VLOOKUP(C19,'Sales Master'!$B$3:$E$2413,4,0)</f>
        <v>DO!</v>
      </c>
      <c r="J19" s="462"/>
      <c r="K19" s="83">
        <f>VLOOKUP(C19,'Sales Master'!B$3:I$530,8,0)</f>
        <v>7</v>
      </c>
      <c r="L19" s="84">
        <f>K19*G19</f>
        <v>21</v>
      </c>
      <c r="N19" s="145">
        <f>VLOOKUP(C19,'Sales Master'!$B$3:$DA$2272,104,0)</f>
        <v>2.15</v>
      </c>
      <c r="O19" s="145">
        <f>K19-N19</f>
        <v>4.8499999999999996</v>
      </c>
      <c r="P19" s="145">
        <f>O19*G19</f>
        <v>14.549999999999999</v>
      </c>
      <c r="Q19" s="63"/>
      <c r="R19" s="63"/>
    </row>
    <row r="20" spans="1:18" ht="20.149999999999999" customHeight="1" x14ac:dyDescent="0.45">
      <c r="A20" s="65"/>
      <c r="B20" s="58">
        <v>520695</v>
      </c>
      <c r="C20" s="212" t="str">
        <f>VLOOKUP(B20,'Sales Master'!A$3:B$530,2,0)</f>
        <v>P3001B</v>
      </c>
      <c r="D20" s="461" t="str">
        <f>VLOOKUP(C20,'Sales Master'!B$3:D$530,2,)</f>
        <v>Atap Seeds in Syrup 亚嗒子</v>
      </c>
      <c r="E20" s="461"/>
      <c r="F20" s="461"/>
      <c r="G20" s="76">
        <v>2</v>
      </c>
      <c r="H20" s="247" t="str">
        <f>VLOOKUP(C20,'Sales Master'!$B$3:$F$2413,5,0)</f>
        <v>NW(1.6:0.6) 2.2kg/ Bag包</v>
      </c>
      <c r="I20" s="462" t="str">
        <f>VLOOKUP(C20,'Sales Master'!$B$3:$E$2413,4,0)</f>
        <v>DO!</v>
      </c>
      <c r="J20" s="462"/>
      <c r="K20" s="83">
        <f>VLOOKUP(C20,'Sales Master'!B$3:I$530,8,0)</f>
        <v>10</v>
      </c>
      <c r="L20" s="84">
        <f>K20*G20</f>
        <v>20</v>
      </c>
      <c r="N20" s="145">
        <f>VLOOKUP(C20,'Sales Master'!$B$3:$DA$2272,104,0)</f>
        <v>7.3</v>
      </c>
      <c r="O20" s="145">
        <f>K20-N20</f>
        <v>2.7</v>
      </c>
      <c r="P20" s="145">
        <f>O20*G20</f>
        <v>5.4</v>
      </c>
      <c r="Q20" s="63"/>
      <c r="R20" s="63"/>
    </row>
    <row r="21" spans="1:18" ht="20.149999999999999" customHeight="1" x14ac:dyDescent="0.45">
      <c r="A21" s="65"/>
      <c r="B21" s="58">
        <v>520721</v>
      </c>
      <c r="C21" s="212" t="str">
        <f>VLOOKUP(B21,'Sales Master'!A$3:B$530,2,0)</f>
        <v>P3004A</v>
      </c>
      <c r="D21" s="461" t="str">
        <f>VLOOKUP(C21,'Sales Master'!B$3:D$530,2,)</f>
        <v>GingKo Nut (Peel off) 白果仁</v>
      </c>
      <c r="E21" s="461"/>
      <c r="F21" s="461"/>
      <c r="G21" s="76">
        <v>2</v>
      </c>
      <c r="H21" s="247" t="str">
        <f>VLOOKUP(C21,'Sales Master'!$B$3:$F$2413,5,0)</f>
        <v>1 KG (500 GM X 2)</v>
      </c>
      <c r="I21" s="462" t="str">
        <f>VLOOKUP(C21,'Sales Master'!$B$3:$E$2413,4,0)</f>
        <v>-</v>
      </c>
      <c r="J21" s="462"/>
      <c r="K21" s="83">
        <f>VLOOKUP(C21,'Sales Master'!B$3:I$530,8,0)</f>
        <v>4.5</v>
      </c>
      <c r="L21" s="84">
        <f>K21*G21</f>
        <v>9</v>
      </c>
      <c r="N21" s="145">
        <f>VLOOKUP(C21,'Sales Master'!$B$3:$DA$2272,104,0)</f>
        <v>3</v>
      </c>
      <c r="O21" s="145">
        <f>K21-N21</f>
        <v>1.5</v>
      </c>
      <c r="P21" s="145">
        <f>O21*G21</f>
        <v>3</v>
      </c>
      <c r="Q21" s="63"/>
      <c r="R21" s="63"/>
    </row>
    <row r="22" spans="1:18" ht="20.149999999999999" customHeight="1" x14ac:dyDescent="0.45">
      <c r="A22" s="65"/>
      <c r="B22" s="58">
        <v>520738</v>
      </c>
      <c r="C22" s="212" t="str">
        <f>VLOOKUP(B22,'Sales Master'!A$3:B$530,2,0)</f>
        <v>P3005A</v>
      </c>
      <c r="D22" s="461" t="str">
        <f>VLOOKUP(C22,'Sales Master'!B$3:D$530,2,)</f>
        <v>Red Bean 红豆 (5.5 mm)</v>
      </c>
      <c r="E22" s="461"/>
      <c r="F22" s="461"/>
      <c r="G22" s="76">
        <v>2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17.5</v>
      </c>
      <c r="L22" s="84">
        <f t="shared" ref="L22" si="3">K22*G22</f>
        <v>35</v>
      </c>
      <c r="N22" s="145">
        <f>VLOOKUP(C22,'Sales Master'!$B$3:$DA$2272,104,0)</f>
        <v>12.5</v>
      </c>
      <c r="O22" s="145">
        <f t="shared" ref="O22" si="4">K22-N22</f>
        <v>5</v>
      </c>
      <c r="P22" s="145">
        <f t="shared" ref="P22" si="5">O22*G22</f>
        <v>10</v>
      </c>
      <c r="Q22" s="63"/>
      <c r="R22" s="63"/>
    </row>
    <row r="23" spans="1:18" ht="20.149999999999999" customHeight="1" x14ac:dyDescent="0.45">
      <c r="A23" s="65"/>
      <c r="B23" s="58">
        <v>520724</v>
      </c>
      <c r="C23" s="212" t="str">
        <f>VLOOKUP(B23,'Sales Master'!A$3:B$530,2,0)</f>
        <v>P3009A</v>
      </c>
      <c r="D23" s="461" t="str">
        <f>VLOOKUP(C23,'Sales Master'!B$3:D$530,2,)</f>
        <v>Green Bean 绿豆</v>
      </c>
      <c r="E23" s="461"/>
      <c r="F23" s="461"/>
      <c r="G23" s="76">
        <v>1</v>
      </c>
      <c r="H23" s="247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13</v>
      </c>
      <c r="L23" s="84">
        <f>K23*G23</f>
        <v>13</v>
      </c>
      <c r="N23" s="145">
        <f>VLOOKUP(C23,'Sales Master'!$B$3:$DA$2272,104,0)</f>
        <v>8.75</v>
      </c>
      <c r="O23" s="145">
        <f>K23-N23</f>
        <v>4.25</v>
      </c>
      <c r="P23" s="145">
        <f>O23*G23</f>
        <v>4.25</v>
      </c>
      <c r="Q23" s="63"/>
      <c r="R23" s="63"/>
    </row>
    <row r="24" spans="1:18" ht="20.149999999999999" customHeight="1" x14ac:dyDescent="0.45">
      <c r="A24" s="65"/>
      <c r="B24" s="58">
        <v>520746</v>
      </c>
      <c r="C24" s="212" t="str">
        <f>VLOOKUP(B24,'Sales Master'!A$3:B$530,2,0)</f>
        <v>P3012A</v>
      </c>
      <c r="D24" s="461" t="str">
        <f>VLOOKUP(C24,'Sales Master'!B$3:D$530,2,)</f>
        <v>Split Green Mung Bean 豆爽</v>
      </c>
      <c r="E24" s="461"/>
      <c r="F24" s="461"/>
      <c r="G24" s="76">
        <v>1</v>
      </c>
      <c r="H24" s="247" t="str">
        <f>VLOOKUP(C24,'Sales Master'!$B$3:$F$2413,5,0)</f>
        <v>5 KG</v>
      </c>
      <c r="I24" s="462" t="str">
        <f>VLOOKUP(C24,'Sales Master'!$B$3:$E$2413,4,0)</f>
        <v>-</v>
      </c>
      <c r="J24" s="462"/>
      <c r="K24" s="83">
        <f>VLOOKUP(C24,'Sales Master'!B$3:I$530,8,0)</f>
        <v>17</v>
      </c>
      <c r="L24" s="84">
        <f t="shared" ref="L24" si="6">K24*G24</f>
        <v>17</v>
      </c>
      <c r="N24" s="145">
        <f>VLOOKUP(C24,'Sales Master'!$B$3:$DA$2272,104,0)</f>
        <v>12.833333333333334</v>
      </c>
      <c r="O24" s="145">
        <f t="shared" ref="O24" si="7">K24-N24</f>
        <v>4.1666666666666661</v>
      </c>
      <c r="P24" s="145">
        <f t="shared" ref="P24" si="8">O24*G24</f>
        <v>4.1666666666666661</v>
      </c>
      <c r="Q24" s="63"/>
      <c r="R24" s="63"/>
    </row>
    <row r="25" spans="1:18" ht="20.149999999999999" customHeight="1" x14ac:dyDescent="0.45">
      <c r="A25" s="65"/>
      <c r="B25" s="58">
        <v>520698</v>
      </c>
      <c r="C25" s="212" t="str">
        <f>VLOOKUP(B25,'Sales Master'!A$3:B$530,2,0)</f>
        <v>P3013A</v>
      </c>
      <c r="D25" s="461" t="str">
        <f>VLOOKUP(C25,'Sales Master'!B$3:D$530,2,)</f>
        <v>Black Glutinous Rice 黑糯米</v>
      </c>
      <c r="E25" s="461"/>
      <c r="F25" s="461"/>
      <c r="G25" s="76">
        <v>1</v>
      </c>
      <c r="H25" s="247" t="str">
        <f>VLOOKUP(C25,'Sales Master'!$B$3:$F$2413,5,0)</f>
        <v>5 KGS</v>
      </c>
      <c r="I25" s="462" t="str">
        <f>VLOOKUP(C25,'Sales Master'!$B$3:$E$2413,4,0)</f>
        <v>-</v>
      </c>
      <c r="J25" s="462"/>
      <c r="K25" s="83">
        <f>VLOOKUP(C25,'Sales Master'!B$3:I$530,8,0)</f>
        <v>18</v>
      </c>
      <c r="L25" s="84">
        <f t="shared" ref="L25" si="9">K25*G25</f>
        <v>18</v>
      </c>
      <c r="N25" s="145">
        <f>VLOOKUP(C25,'Sales Master'!$B$3:$DA$2272,104,0)</f>
        <v>12</v>
      </c>
      <c r="O25" s="145">
        <f t="shared" ref="O25" si="10">K25-N25</f>
        <v>6</v>
      </c>
      <c r="P25" s="145">
        <f t="shared" ref="P25" si="11">O25*G25</f>
        <v>6</v>
      </c>
      <c r="Q25" s="63"/>
      <c r="R25" s="63"/>
    </row>
    <row r="26" spans="1:18" ht="20.149999999999999" customHeight="1" x14ac:dyDescent="0.45">
      <c r="A26" s="65"/>
      <c r="B26" s="58">
        <v>520714</v>
      </c>
      <c r="C26" s="212" t="str">
        <f>VLOOKUP(B26,'Sales Master'!A$3:B$530,2,0)</f>
        <v>P3019A</v>
      </c>
      <c r="D26" s="461" t="str">
        <f>VLOOKUP(C26,'Sales Master'!B$3:D$530,2,)</f>
        <v>Dried Longan 龙眼干</v>
      </c>
      <c r="E26" s="461"/>
      <c r="F26" s="461"/>
      <c r="G26" s="76">
        <v>3</v>
      </c>
      <c r="H26" s="247" t="str">
        <f>VLOOKUP(C26,'Sales Master'!$B$3:$F$2413,5,0)</f>
        <v>1 kg</v>
      </c>
      <c r="I26" s="462" t="str">
        <f>VLOOKUP(C26,'Sales Master'!$B$3:$E$2413,4,0)</f>
        <v>TL</v>
      </c>
      <c r="J26" s="462"/>
      <c r="K26" s="83">
        <f>VLOOKUP(C26,'Sales Master'!B$3:I$530,8,0)</f>
        <v>13</v>
      </c>
      <c r="L26" s="84">
        <f>K26*G26</f>
        <v>39</v>
      </c>
      <c r="N26" s="145">
        <f>VLOOKUP(C26,'Sales Master'!$B$3:$DA$2272,104,0)</f>
        <v>8.8000000000000007</v>
      </c>
      <c r="O26" s="145">
        <f>K26-N26</f>
        <v>4.1999999999999993</v>
      </c>
      <c r="P26" s="145">
        <f>O26*G26</f>
        <v>12.599999999999998</v>
      </c>
      <c r="Q26" s="63"/>
      <c r="R26" s="63"/>
    </row>
    <row r="27" spans="1:18" ht="20.149999999999999" customHeight="1" x14ac:dyDescent="0.45">
      <c r="A27" s="65"/>
      <c r="B27" s="58">
        <v>520728</v>
      </c>
      <c r="C27" s="212" t="str">
        <f>VLOOKUP(B27,'Sales Master'!A$3:B$530,2,0)</f>
        <v>P4010</v>
      </c>
      <c r="D27" s="461" t="str">
        <f>VLOOKUP(C27,'Sales Master'!B$3:D$530,2,)</f>
        <v>Lychee in Syrup 荔枝</v>
      </c>
      <c r="E27" s="461"/>
      <c r="F27" s="461"/>
      <c r="G27" s="76">
        <v>2</v>
      </c>
      <c r="H27" s="247" t="str">
        <f>VLOOKUP(C27,'Sales Master'!$B$3:$F$2413,5,0)</f>
        <v>12can/箱</v>
      </c>
      <c r="I27" s="462" t="str">
        <f>VLOOKUP(C27,'Sales Master'!$B$3:$E$2413,4,0)</f>
        <v>MiLi</v>
      </c>
      <c r="J27" s="462"/>
      <c r="K27" s="83">
        <f>VLOOKUP(C27,'Sales Master'!B$3:I$530,8,0)</f>
        <v>24</v>
      </c>
      <c r="L27" s="84">
        <f>K27*G27</f>
        <v>48</v>
      </c>
      <c r="N27" s="145">
        <f>VLOOKUP(C27,'Sales Master'!$B$3:$DA$2272,104,0)</f>
        <v>20</v>
      </c>
      <c r="O27" s="145">
        <f>K27-N27</f>
        <v>4</v>
      </c>
      <c r="P27" s="145">
        <f>O27*G27</f>
        <v>8</v>
      </c>
      <c r="Q27" s="63"/>
      <c r="R27" s="63"/>
    </row>
    <row r="28" spans="1:18" ht="20.149999999999999" customHeight="1" x14ac:dyDescent="0.45">
      <c r="A28" s="65"/>
      <c r="B28" s="58">
        <v>520711</v>
      </c>
      <c r="C28" s="212" t="str">
        <f>VLOOKUP(B28,'Sales Master'!A$3:B$530,2,0)</f>
        <v>P4014</v>
      </c>
      <c r="D28" s="461" t="str">
        <f>VLOOKUP(C28,'Sales Master'!B$3:D$530,2,)</f>
        <v>Cream Corn 玉米浆</v>
      </c>
      <c r="E28" s="461"/>
      <c r="F28" s="461"/>
      <c r="G28" s="76">
        <v>1</v>
      </c>
      <c r="H28" s="247" t="str">
        <f>VLOOKUP(C28,'Sales Master'!$B$3:$F$2413,5,0)</f>
        <v>410 GM x 24/ Ctn箱</v>
      </c>
      <c r="I28" s="462" t="str">
        <f>VLOOKUP(C28,'Sales Master'!$B$3:$E$2413,4,0)</f>
        <v>Statue</v>
      </c>
      <c r="J28" s="462"/>
      <c r="K28" s="83">
        <f>VLOOKUP(C28,'Sales Master'!B$3:I$530,8,0)</f>
        <v>23</v>
      </c>
      <c r="L28" s="84">
        <f>K28*G28</f>
        <v>23</v>
      </c>
      <c r="N28" s="145">
        <f>VLOOKUP(C28,'Sales Master'!$B$3:$DA$2272,104,0)</f>
        <v>18</v>
      </c>
      <c r="O28" s="145">
        <f>K28-N28</f>
        <v>5</v>
      </c>
      <c r="P28" s="145">
        <f>O28*G28</f>
        <v>5</v>
      </c>
      <c r="Q28" s="63"/>
      <c r="R28" s="63"/>
    </row>
    <row r="29" spans="1:18" ht="20.149999999999999" customHeight="1" x14ac:dyDescent="0.45">
      <c r="A29" s="65"/>
      <c r="B29" s="58">
        <v>520700</v>
      </c>
      <c r="C29" s="212" t="str">
        <f>VLOOKUP(B29,'Sales Master'!A$3:B$530,2,0)</f>
        <v>P5002A</v>
      </c>
      <c r="D29" s="461" t="str">
        <f>VLOOKUP(C29,'Sales Master'!B$3:D$530,2,)</f>
        <v>Brown Sugar 黑糖</v>
      </c>
      <c r="E29" s="461"/>
      <c r="F29" s="461"/>
      <c r="G29" s="76">
        <v>1</v>
      </c>
      <c r="H29" s="247" t="str">
        <f>VLOOKUP(C29,'Sales Master'!$B$3:$F$2413,5,0)</f>
        <v>6 KG</v>
      </c>
      <c r="I29" s="462" t="str">
        <f>VLOOKUP(C29,'Sales Master'!$B$3:$E$2413,4,0)</f>
        <v>Star</v>
      </c>
      <c r="J29" s="462"/>
      <c r="K29" s="83">
        <f>VLOOKUP(C29,'Sales Master'!B$3:I$530,8,0)</f>
        <v>15.5</v>
      </c>
      <c r="L29" s="84">
        <f t="shared" ref="L29:L31" si="12">K29*G29</f>
        <v>15.5</v>
      </c>
      <c r="N29" s="145">
        <f>VLOOKUP(C29,'Sales Master'!$B$3:$DA$2272,104,0)</f>
        <v>12.5</v>
      </c>
      <c r="O29" s="145">
        <f t="shared" ref="O29:O31" si="13">K29-N29</f>
        <v>3</v>
      </c>
      <c r="P29" s="145">
        <f t="shared" ref="P29:P31" si="14">O29*G29</f>
        <v>3</v>
      </c>
      <c r="Q29" s="63"/>
      <c r="R29" s="63"/>
    </row>
    <row r="30" spans="1:18" ht="20.149999999999999" customHeight="1" x14ac:dyDescent="0.45">
      <c r="A30" s="65"/>
      <c r="B30" s="58">
        <v>520706</v>
      </c>
      <c r="C30" s="212" t="str">
        <f>VLOOKUP(B30,'Sales Master'!A$3:B$530,2,0)</f>
        <v>P5008</v>
      </c>
      <c r="D30" s="461" t="str">
        <f>VLOOKUP(C30,'Sales Master'!B$3:D$530,2,)</f>
        <v>Coconut Sugar 椰糖</v>
      </c>
      <c r="E30" s="461"/>
      <c r="F30" s="461"/>
      <c r="G30" s="76">
        <v>1</v>
      </c>
      <c r="H30" s="247" t="str">
        <f>VLOOKUP(C30,'Sales Master'!$B$3:$F$2413,5,0)</f>
        <v>10 KG/ ctn</v>
      </c>
      <c r="I30" s="462" t="str">
        <f>VLOOKUP(C30,'Sales Master'!$B$3:$E$2413,4,0)</f>
        <v>BL BRAND</v>
      </c>
      <c r="J30" s="462"/>
      <c r="K30" s="83">
        <f>VLOOKUP(C30,'Sales Master'!B$3:I$530,8,0)</f>
        <v>35</v>
      </c>
      <c r="L30" s="84">
        <f t="shared" ref="L30" si="15">K30*G30</f>
        <v>35</v>
      </c>
      <c r="N30" s="145">
        <f>VLOOKUP(C30,'Sales Master'!$B$3:$DA$2272,104,0)</f>
        <v>28</v>
      </c>
      <c r="O30" s="145">
        <f t="shared" ref="O30" si="16">K30-N30</f>
        <v>7</v>
      </c>
      <c r="P30" s="145">
        <f t="shared" ref="P30" si="17">O30*G30</f>
        <v>7</v>
      </c>
      <c r="Q30" s="63"/>
      <c r="R30" s="63"/>
    </row>
    <row r="31" spans="1:18" ht="20.149999999999999" customHeight="1" x14ac:dyDescent="0.45">
      <c r="A31" s="65"/>
      <c r="B31" s="58">
        <v>520733</v>
      </c>
      <c r="C31" s="212" t="str">
        <f>VLOOKUP(B31,'Sales Master'!A$3:B$530,2,0)</f>
        <v>P6002A</v>
      </c>
      <c r="D31" s="461" t="str">
        <f>VLOOKUP(C31,'Sales Master'!B$3:D$530,2,)</f>
        <v>Skinless Sweet Potato 去皮番薯</v>
      </c>
      <c r="E31" s="461"/>
      <c r="F31" s="461"/>
      <c r="G31" s="76">
        <v>1</v>
      </c>
      <c r="H31" s="247" t="str">
        <f>VLOOKUP(C31,'Sales Master'!$B$3:$F$2413,5,0)</f>
        <v>5 KG</v>
      </c>
      <c r="I31" s="462" t="str">
        <f>VLOOKUP(C31,'Sales Master'!$B$3:$E$2413,4,0)</f>
        <v>Malaysia</v>
      </c>
      <c r="J31" s="462"/>
      <c r="K31" s="83">
        <f>VLOOKUP(C31,'Sales Master'!B$3:I$530,8,0)</f>
        <v>16.5</v>
      </c>
      <c r="L31" s="84">
        <f t="shared" si="12"/>
        <v>16.5</v>
      </c>
      <c r="N31" s="145">
        <f>VLOOKUP(C31,'Sales Master'!$B$3:$DA$2272,104,0)</f>
        <v>9</v>
      </c>
      <c r="O31" s="145">
        <f t="shared" si="13"/>
        <v>7.5</v>
      </c>
      <c r="P31" s="145">
        <f t="shared" si="14"/>
        <v>7.5</v>
      </c>
      <c r="Q31" s="63"/>
      <c r="R31" s="63"/>
    </row>
    <row r="32" spans="1:18" ht="20.149999999999999" customHeight="1" x14ac:dyDescent="0.45">
      <c r="A32" s="65"/>
      <c r="B32" s="58">
        <v>520731</v>
      </c>
      <c r="C32" s="212" t="str">
        <f>VLOOKUP(B32,'Sales Master'!A$3:B$530,2,0)</f>
        <v>P6007</v>
      </c>
      <c r="D32" s="461" t="str">
        <f>VLOOKUP(C32,'Sales Master'!B$3:D$530,2,)</f>
        <v>Pandan Leaf 班兰叶</v>
      </c>
      <c r="E32" s="461"/>
      <c r="F32" s="461"/>
      <c r="G32" s="76">
        <v>1</v>
      </c>
      <c r="H32" s="247" t="str">
        <f>VLOOKUP(C32,'Sales Master'!$B$3:$F$2413,5,0)</f>
        <v>1 KG</v>
      </c>
      <c r="I32" s="462" t="str">
        <f>VLOOKUP(C32,'Sales Master'!$B$3:$E$2413,4,0)</f>
        <v>-</v>
      </c>
      <c r="J32" s="462"/>
      <c r="K32" s="83">
        <f>VLOOKUP(C32,'Sales Master'!B$3:I$530,8,0)</f>
        <v>1.8</v>
      </c>
      <c r="L32" s="84">
        <f>K32*G32</f>
        <v>1.8</v>
      </c>
      <c r="N32" s="145">
        <f>VLOOKUP(C32,'Sales Master'!$B$3:$DA$2272,104,0)</f>
        <v>1.1000000000000001</v>
      </c>
      <c r="O32" s="145">
        <f>K32-N32</f>
        <v>0.7</v>
      </c>
      <c r="P32" s="145">
        <f>O32*G32</f>
        <v>0.7</v>
      </c>
      <c r="Q32" s="63"/>
      <c r="R32" s="63"/>
    </row>
    <row r="33" spans="1:18" ht="20.149999999999999" customHeight="1" x14ac:dyDescent="0.45">
      <c r="A33" s="65"/>
      <c r="B33" s="58">
        <v>520792</v>
      </c>
      <c r="C33" s="212" t="str">
        <f>VLOOKUP(B33,'Sales Master'!A$3:B$530,2,0)</f>
        <v>P6014</v>
      </c>
      <c r="D33" s="461" t="str">
        <f>VLOOKUP(C33,'Sales Master'!B$3:D$530,2,)</f>
        <v>Yu Tiao 油条</v>
      </c>
      <c r="E33" s="461"/>
      <c r="F33" s="461"/>
      <c r="G33" s="76">
        <v>2</v>
      </c>
      <c r="H33" s="247" t="str">
        <f>VLOOKUP(C33,'Sales Master'!$B$3:$F$2413,5,0)</f>
        <v>10 PCS/PKT</v>
      </c>
      <c r="I33" s="462" t="str">
        <f>VLOOKUP(C33,'Sales Master'!$B$3:$E$2413,4,0)</f>
        <v>-</v>
      </c>
      <c r="J33" s="462"/>
      <c r="K33" s="83">
        <f>VLOOKUP(C33,'Sales Master'!B$3:I$530,8,0)</f>
        <v>5.5</v>
      </c>
      <c r="L33" s="84">
        <f t="shared" ref="L33" si="18">K33*G33</f>
        <v>11</v>
      </c>
      <c r="N33" s="145">
        <f>VLOOKUP(C33,'Sales Master'!$B$3:$DA$2272,104,0)</f>
        <v>0.45</v>
      </c>
      <c r="O33" s="145">
        <f t="shared" ref="O33" si="19">K33-N33</f>
        <v>5.05</v>
      </c>
      <c r="P33" s="145">
        <f t="shared" ref="P33" si="20">O33*G33</f>
        <v>10.1</v>
      </c>
      <c r="Q33" s="63"/>
      <c r="R33" s="63"/>
    </row>
    <row r="34" spans="1:18" ht="20.149999999999999" customHeight="1" x14ac:dyDescent="0.45">
      <c r="A34" s="65"/>
      <c r="B34" s="58">
        <v>520740</v>
      </c>
      <c r="C34" s="212" t="str">
        <f>VLOOKUP(B34,'Sales Master'!A$3:B$530,2,0)</f>
        <v>M1037A</v>
      </c>
      <c r="D34" s="461" t="str">
        <f>VLOOKUP(C34,'Sales Master'!B$3:D$530,2,)</f>
        <v>Rock Sugar Syrup 冰糖浆</v>
      </c>
      <c r="E34" s="461"/>
      <c r="F34" s="461"/>
      <c r="G34" s="76">
        <v>3</v>
      </c>
      <c r="H34" s="247" t="str">
        <f>VLOOKUP(C34,'Sales Master'!$B$3:$F$2413,5,0)</f>
        <v>5 KG</v>
      </c>
      <c r="I34" s="462" t="str">
        <f>VLOOKUP(C34,'Sales Master'!$B$3:$E$2413,4,0)</f>
        <v>DO!</v>
      </c>
      <c r="J34" s="462"/>
      <c r="K34" s="83">
        <f>VLOOKUP(C34,'Sales Master'!B$3:I$530,8,0)</f>
        <v>10.5</v>
      </c>
      <c r="L34" s="84">
        <f t="shared" ref="L34" si="21">K34*G34</f>
        <v>31.5</v>
      </c>
      <c r="N34" s="145">
        <f>VLOOKUP(C34,'Sales Master'!$B$3:$DA$2272,104,0)</f>
        <v>5.86</v>
      </c>
      <c r="O34" s="145">
        <f t="shared" ref="O34" si="22">K34-N34</f>
        <v>4.6399999999999997</v>
      </c>
      <c r="P34" s="145">
        <f t="shared" ref="P34" si="23">O34*G34</f>
        <v>13.919999999999998</v>
      </c>
      <c r="Q34" s="63"/>
      <c r="R34" s="63"/>
    </row>
    <row r="35" spans="1:18" ht="20.149999999999999" customHeight="1" x14ac:dyDescent="0.45">
      <c r="A35" s="65"/>
      <c r="B35" s="242"/>
      <c r="C35" s="212"/>
      <c r="D35" s="461"/>
      <c r="E35" s="461"/>
      <c r="F35" s="461"/>
      <c r="G35" s="76"/>
      <c r="H35" s="247"/>
      <c r="I35" s="462"/>
      <c r="J35" s="462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2"/>
      <c r="C36" s="212"/>
      <c r="G36" s="76"/>
      <c r="H36" s="247"/>
      <c r="I36" s="209"/>
      <c r="J36" s="209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4"/>
      <c r="J37" s="514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2" t="s">
        <v>13</v>
      </c>
      <c r="K39" s="513"/>
      <c r="L39" s="143">
        <f>SUM(L18:L38)</f>
        <v>367.3</v>
      </c>
      <c r="M39" s="63">
        <f>SUM(P18:P38)</f>
        <v>123.30666666666666</v>
      </c>
      <c r="N39" s="133">
        <f>M39/L39</f>
        <v>0.33571104455939738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367.3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33.057000000000002</v>
      </c>
    </row>
    <row r="43" spans="1:18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400.35700000000003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690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7:J27"/>
    <mergeCell ref="D25:F25"/>
    <mergeCell ref="D17:F17"/>
    <mergeCell ref="I25:J25"/>
    <mergeCell ref="D26:F26"/>
    <mergeCell ref="I26:J26"/>
    <mergeCell ref="D20:F20"/>
    <mergeCell ref="D18:F18"/>
    <mergeCell ref="I18:J18"/>
    <mergeCell ref="D27:F27"/>
    <mergeCell ref="D19:F19"/>
    <mergeCell ref="I19:J19"/>
    <mergeCell ref="D32:F32"/>
    <mergeCell ref="I32:J32"/>
    <mergeCell ref="I20:J20"/>
    <mergeCell ref="I28:J28"/>
    <mergeCell ref="D23:F23"/>
    <mergeCell ref="D28:F28"/>
    <mergeCell ref="I23:J23"/>
    <mergeCell ref="I22:J22"/>
    <mergeCell ref="D24:F24"/>
    <mergeCell ref="I24:J24"/>
    <mergeCell ref="D22:F22"/>
    <mergeCell ref="D34:F34"/>
    <mergeCell ref="I34:J34"/>
    <mergeCell ref="D33:F33"/>
    <mergeCell ref="I33:J33"/>
    <mergeCell ref="D29:F29"/>
    <mergeCell ref="I29:J29"/>
    <mergeCell ref="J43:K43"/>
    <mergeCell ref="J39:K39"/>
    <mergeCell ref="J41:K41"/>
    <mergeCell ref="I37:J37"/>
    <mergeCell ref="D35:F35"/>
    <mergeCell ref="I35:J35"/>
    <mergeCell ref="I31:J31"/>
    <mergeCell ref="D30:F30"/>
    <mergeCell ref="I30:J30"/>
    <mergeCell ref="D21:F21"/>
    <mergeCell ref="I21:J21"/>
    <mergeCell ref="D31:F31"/>
  </mergeCells>
  <hyperlinks>
    <hyperlink ref="B15" r:id="rId1" xr:uid="{865634F9-D25C-4E65-A9D1-13CD95203574}"/>
  </hyperlinks>
  <pageMargins left="0.74803149606299213" right="0" top="0" bottom="0" header="0" footer="0"/>
  <pageSetup paperSize="9" scale="71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44"/>
  <sheetViews>
    <sheetView topLeftCell="A17" zoomScaleNormal="100" workbookViewId="0">
      <selection activeCell="C26" sqref="C26:K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</v>
      </c>
      <c r="J10" s="24" t="s">
        <v>27</v>
      </c>
      <c r="K10" s="493">
        <v>202501075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Gourmet Paradise                                  Toa Payoh Lorong 6, Blk 480 #B1-01 Singapore 310480    </v>
      </c>
      <c r="G11" s="481"/>
      <c r="H11" s="482"/>
      <c r="J11" s="26" t="s">
        <v>9</v>
      </c>
      <c r="K11" s="495">
        <v>45660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841</v>
      </c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722</v>
      </c>
      <c r="D18" s="461" t="str">
        <f>VLOOKUP(C18,'Sales Master'!B$3:D$530,2,)</f>
        <v xml:space="preserve">Fresh Soursop 红毛榴莲 </v>
      </c>
      <c r="E18" s="461"/>
      <c r="F18" s="461"/>
      <c r="G18" s="17">
        <v>1</v>
      </c>
      <c r="H18" s="186" t="str">
        <f>VLOOKUP(C18,'Sales Master'!$B$3:$F$2413,5,0)</f>
        <v>GW:5 KG/ Tub桶</v>
      </c>
      <c r="I18" s="497" t="str">
        <f>VLOOKUP(C18,'Sales Master'!$B$3:$E$2413,4,0)</f>
        <v>DO!</v>
      </c>
      <c r="J18" s="497"/>
      <c r="K18" s="30">
        <f>VLOOKUP(C18,'Sales Master'!$B$3:$AI$530,34,0)</f>
        <v>31</v>
      </c>
      <c r="L18" s="64">
        <f t="shared" ref="L18" si="0">K18*G18</f>
        <v>31</v>
      </c>
      <c r="N18" s="145">
        <f>VLOOKUP(C18,'Sales Master'!$B$3:$DA$2272,104,0)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  <c r="Q18" s="170"/>
    </row>
    <row r="19" spans="2:17" ht="20.149999999999999" customHeight="1" x14ac:dyDescent="0.45">
      <c r="B19" s="29"/>
      <c r="C19" s="212" t="s">
        <v>741</v>
      </c>
      <c r="D19" s="492" t="str">
        <f>VLOOKUP(C19,'Sales Master'!B$3:D$530,2,)</f>
        <v>Pong Thai Hai (Wet) 碰大海(湿)</v>
      </c>
      <c r="E19" s="492"/>
      <c r="F19" s="492"/>
      <c r="G19" s="17">
        <v>2</v>
      </c>
      <c r="H19" s="186" t="str">
        <f>VLOOKUP(C19,'Sales Master'!$B$3:$F$2413,5,0)</f>
        <v>1 KG/ Pkt包</v>
      </c>
      <c r="I19" s="497" t="str">
        <f>VLOOKUP(C19,'Sales Master'!$B$3:$E$2413,4,0)</f>
        <v>DO!</v>
      </c>
      <c r="J19" s="497"/>
      <c r="K19" s="30">
        <f>VLOOKUP(C19,'Sales Master'!$B$3:$AI$530,34,0)</f>
        <v>10</v>
      </c>
      <c r="L19" s="64">
        <f>K19*G19</f>
        <v>20</v>
      </c>
      <c r="N19" s="145">
        <f>VLOOKUP(C19,'Sales Master'!$B$3:$DA$2272,104,0)</f>
        <v>0.9</v>
      </c>
      <c r="O19" s="145">
        <f>K19-N19</f>
        <v>9.1</v>
      </c>
      <c r="P19" s="145">
        <f>O19*G19</f>
        <v>18.2</v>
      </c>
      <c r="Q19" s="170"/>
    </row>
    <row r="20" spans="2:17" ht="20.149999999999999" customHeight="1" x14ac:dyDescent="0.45">
      <c r="B20" s="29"/>
      <c r="C20" s="212" t="s">
        <v>870</v>
      </c>
      <c r="D20" s="461" t="str">
        <f>VLOOKUP(C20,'Sales Master'!B$3:D$530,2,)</f>
        <v>Pearl Barley 薏米</v>
      </c>
      <c r="E20" s="461"/>
      <c r="F20" s="461"/>
      <c r="G20" s="17">
        <v>2</v>
      </c>
      <c r="H20" s="186" t="str">
        <f>VLOOKUP(C20,'Sales Master'!$B$3:$F$2413,5,0)</f>
        <v>5 KG</v>
      </c>
      <c r="I20" s="497" t="str">
        <f>VLOOKUP(C20,'Sales Master'!$B$3:$E$2413,4,0)</f>
        <v>-</v>
      </c>
      <c r="J20" s="497"/>
      <c r="K20" s="30">
        <f>VLOOKUP(C20,'Sales Master'!$B$3:$AI$530,34,0)</f>
        <v>10</v>
      </c>
      <c r="L20" s="64">
        <f>K20*G20</f>
        <v>20</v>
      </c>
      <c r="N20" s="145">
        <f>VLOOKUP(C20,'Sales Master'!$B$3:$DA$2272,104,0)</f>
        <v>7.6</v>
      </c>
      <c r="O20" s="145">
        <f>K20-N20</f>
        <v>2.4000000000000004</v>
      </c>
      <c r="P20" s="145">
        <f>O20*G20</f>
        <v>4.8000000000000007</v>
      </c>
      <c r="Q20" s="170"/>
    </row>
    <row r="21" spans="2:17" ht="20.149999999999999" customHeight="1" x14ac:dyDescent="0.45">
      <c r="B21" s="29"/>
      <c r="C21" s="212" t="s">
        <v>1206</v>
      </c>
      <c r="D21" s="461" t="str">
        <f>VLOOKUP(C21,'Sales Master'!B$3:D$530,2,)</f>
        <v>Water Chestnut 马蹄罐</v>
      </c>
      <c r="E21" s="461"/>
      <c r="F21" s="461"/>
      <c r="G21" s="17">
        <v>1</v>
      </c>
      <c r="H21" s="186" t="str">
        <f>VLOOKUP(C21,'Sales Master'!$B$3:$F$2413,5,0)</f>
        <v>(567gm x 24)/ Ctn箱</v>
      </c>
      <c r="I21" s="497" t="str">
        <f>VLOOKUP(C21,'Sales Master'!$B$3:$E$2413,4,0)</f>
        <v>GOLDEN CHAMP</v>
      </c>
      <c r="J21" s="497"/>
      <c r="K21" s="30">
        <f>VLOOKUP(C21,'Sales Master'!$B$3:$AI$530,34,0)</f>
        <v>34</v>
      </c>
      <c r="L21" s="64">
        <f>K21*G21</f>
        <v>34</v>
      </c>
      <c r="N21" s="145">
        <f>VLOOKUP(C21,'Sales Master'!$B$3:$DA$2272,104,0)</f>
        <v>27</v>
      </c>
      <c r="O21" s="145">
        <f>K21-N21</f>
        <v>7</v>
      </c>
      <c r="P21" s="145">
        <f>O21*G21</f>
        <v>7</v>
      </c>
      <c r="Q21" s="170"/>
    </row>
    <row r="22" spans="2:17" ht="20.149999999999999" customHeight="1" x14ac:dyDescent="0.45">
      <c r="B22" s="29"/>
      <c r="C22" s="212" t="s">
        <v>2233</v>
      </c>
      <c r="D22" s="461" t="str">
        <f>VLOOKUP(C22,'Sales Master'!B$3:D$530,2,)</f>
        <v>Sea Coconut 海底椰</v>
      </c>
      <c r="E22" s="461"/>
      <c r="F22" s="461"/>
      <c r="G22" s="17">
        <v>1</v>
      </c>
      <c r="H22" s="186" t="str">
        <f>VLOOKUP(C22,'Sales Master'!$B$3:$F$2413,5,0)</f>
        <v>(565gm x 12)/ Ctn箱</v>
      </c>
      <c r="I22" s="497" t="str">
        <f>VLOOKUP(C22,'Sales Master'!$B$3:$E$2413,4,0)</f>
        <v>GoldenBoy</v>
      </c>
      <c r="J22" s="497"/>
      <c r="K22" s="30">
        <f>VLOOKUP(C22,'Sales Master'!$B$3:$AI$530,34,0)</f>
        <v>34</v>
      </c>
      <c r="L22" s="64">
        <f t="shared" ref="L22" si="3">K22*G22</f>
        <v>34</v>
      </c>
      <c r="N22" s="145">
        <f>VLOOKUP(C22,'Sales Master'!$B$3:$DA$2272,104,0)</f>
        <v>28</v>
      </c>
      <c r="O22" s="145">
        <f t="shared" ref="O22" si="4">K22-N22</f>
        <v>6</v>
      </c>
      <c r="P22" s="145">
        <f t="shared" ref="P22" si="5">O22*G22</f>
        <v>6</v>
      </c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49" t="s">
        <v>2317</v>
      </c>
      <c r="D26" s="403"/>
      <c r="E26" s="403"/>
      <c r="F26" s="403"/>
      <c r="G26" s="76"/>
      <c r="H26" s="186"/>
      <c r="I26" s="497"/>
      <c r="J26" s="497"/>
      <c r="K26" s="19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 t="s">
        <v>990</v>
      </c>
      <c r="D27" s="501" t="str">
        <f>VLOOKUP(C27,'[3]Sales Master'!B$3:D$663,2,0)</f>
        <v>Coconut Milk 椰浆</v>
      </c>
      <c r="E27" s="501"/>
      <c r="F27" s="501"/>
      <c r="G27" s="17">
        <v>1</v>
      </c>
      <c r="H27" s="186" t="str">
        <f>VLOOKUP(C27,'[3]Sales Master'!B$3:F$955,5,0)</f>
        <v>(1L x 12bag)/箱</v>
      </c>
      <c r="I27" s="497" t="str">
        <f>VLOOKUP(C27,'[3]Sales Master'!B$3:E$955,4,0)</f>
        <v>Kara UHT</v>
      </c>
      <c r="J27" s="497"/>
      <c r="K27" s="190">
        <v>48</v>
      </c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/>
      <c r="D28" s="461"/>
      <c r="E28" s="461"/>
      <c r="F28" s="461"/>
      <c r="G28" s="17"/>
      <c r="H28" s="186"/>
      <c r="I28" s="497"/>
      <c r="J28" s="497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SUM(L16:L30)</f>
        <v>139</v>
      </c>
      <c r="M32" s="63">
        <f>SUM(P18:P30)-L32*0.04</f>
        <v>35.81</v>
      </c>
      <c r="N32" s="133">
        <f>M32/L32</f>
        <v>0.25762589928057555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12.51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151.51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J36:K36"/>
    <mergeCell ref="I26:J26"/>
    <mergeCell ref="I27:J27"/>
    <mergeCell ref="J34:K34"/>
    <mergeCell ref="I17:J17"/>
    <mergeCell ref="I22:J22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24:J24"/>
    <mergeCell ref="I23:J23"/>
    <mergeCell ref="I18:J18"/>
    <mergeCell ref="D19:F19"/>
    <mergeCell ref="I19:J19"/>
    <mergeCell ref="D24:F24"/>
    <mergeCell ref="D22:F22"/>
    <mergeCell ref="D21:F21"/>
    <mergeCell ref="D20:F20"/>
    <mergeCell ref="D23:F23"/>
    <mergeCell ref="D25:F25"/>
    <mergeCell ref="I25:J25"/>
    <mergeCell ref="D30:F30"/>
    <mergeCell ref="J32:K32"/>
    <mergeCell ref="I28:J28"/>
    <mergeCell ref="D28:F28"/>
    <mergeCell ref="D27:F27"/>
  </mergeCells>
  <conditionalFormatting sqref="C26">
    <cfRule type="duplicateValues" dxfId="200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26953125" style="19" customWidth="1"/>
    <col min="7" max="7" width="8.54296875" style="19" customWidth="1"/>
    <col min="8" max="8" width="20.17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9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9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9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9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  <c r="N4" s="19" t="s">
        <v>1347</v>
      </c>
    </row>
    <row r="5" spans="2:19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9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9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9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9" ht="19" thickBot="1" x14ac:dyDescent="0.5">
      <c r="B9" s="18"/>
    </row>
    <row r="10" spans="2:19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179</v>
      </c>
      <c r="J10" s="24" t="s">
        <v>27</v>
      </c>
      <c r="K10" s="493">
        <v>202501188</v>
      </c>
      <c r="L10" s="494"/>
      <c r="N10" s="149" t="s">
        <v>1169</v>
      </c>
      <c r="R10" s="146"/>
      <c r="S10" s="56"/>
    </row>
    <row r="11" spans="2:19" ht="20.149999999999999" customHeight="1" x14ac:dyDescent="0.45">
      <c r="B11" s="541" t="s">
        <v>146</v>
      </c>
      <c r="C11" s="542"/>
      <c r="D11" s="543"/>
      <c r="E11" s="25"/>
      <c r="F11" s="480" t="str">
        <f>VLOOKUP(H10,'Delivery Location'!A$4:N$460,2,0)</f>
        <v>NEW TRENDS                                                  Stall :  Blk 75, Toa Payoh 5, Food Centre #01-23, Singapore 310075</v>
      </c>
      <c r="G11" s="481"/>
      <c r="H11" s="482"/>
      <c r="J11" s="26" t="s">
        <v>9</v>
      </c>
      <c r="K11" s="495">
        <v>45665</v>
      </c>
      <c r="L11" s="496"/>
    </row>
    <row r="12" spans="2:19" ht="20.149999999999999" customHeight="1" x14ac:dyDescent="0.45">
      <c r="B12" s="488" t="s">
        <v>684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9" ht="20.149999999999999" customHeight="1" x14ac:dyDescent="0.45">
      <c r="B13" s="488" t="s">
        <v>716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9" ht="20.149999999999999" customHeight="1" x14ac:dyDescent="0.45">
      <c r="B14" s="488" t="s">
        <v>685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9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9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58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3</v>
      </c>
      <c r="H18" s="186" t="str">
        <f>VLOOKUP(C18,'Sales Master'!$B$3:$F$2481,5,0)</f>
        <v>NW(2.2:0.8) 3kg/ Bag包</v>
      </c>
      <c r="I18" s="497" t="str">
        <f>VLOOKUP(C18,'Sales Master'!$B$3:$E$2481,4,0)</f>
        <v>DO!</v>
      </c>
      <c r="J18" s="497"/>
      <c r="K18" s="80">
        <f>VLOOKUP(C18,'Sales Master'!B$3:L$2396,11,0)</f>
        <v>7.5</v>
      </c>
      <c r="L18" s="64">
        <f>K18*G18</f>
        <v>22.5</v>
      </c>
      <c r="M18" s="65"/>
      <c r="N18" s="145">
        <f>VLOOKUP(C18,'Sales Master'!$B$3:$DA$2272,104,0)</f>
        <v>2.44</v>
      </c>
      <c r="O18" s="145">
        <f>K18-N18</f>
        <v>5.0600000000000005</v>
      </c>
      <c r="P18" s="145">
        <f>O18*G18</f>
        <v>15.180000000000001</v>
      </c>
    </row>
    <row r="19" spans="2:18" ht="20.149999999999999" customHeight="1" x14ac:dyDescent="0.45">
      <c r="B19" s="29"/>
      <c r="C19" s="212" t="s">
        <v>721</v>
      </c>
      <c r="D19" s="461" t="str">
        <f>VLOOKUP(C19,'Sales Master'!B$3:D$530,2,)</f>
        <v xml:space="preserve">Fresh Soursop 红毛榴莲 </v>
      </c>
      <c r="E19" s="461"/>
      <c r="F19" s="461"/>
      <c r="G19" s="76">
        <v>2</v>
      </c>
      <c r="H19" s="186" t="str">
        <f>VLOOKUP(C19,'Sales Master'!$B$3:$F$2481,5,0)</f>
        <v>GW:5 KG/ Pkt包</v>
      </c>
      <c r="I19" s="497" t="str">
        <f>VLOOKUP(C19,'Sales Master'!$B$3:$E$2481,4,0)</f>
        <v>DO!</v>
      </c>
      <c r="J19" s="497"/>
      <c r="K19" s="80">
        <f>VLOOKUP(C19,'Sales Master'!B$3:L$2396,11,0)</f>
        <v>35</v>
      </c>
      <c r="L19" s="64">
        <f>K19*G19</f>
        <v>70</v>
      </c>
      <c r="M19" s="65"/>
      <c r="N19" s="145">
        <f>VLOOKUP(C19,'Sales Master'!$B$3:$DA$2272,104,0)</f>
        <v>24.39</v>
      </c>
      <c r="O19" s="145">
        <f>K19-N19</f>
        <v>10.61</v>
      </c>
      <c r="P19" s="145">
        <f>O19*G19</f>
        <v>21.22</v>
      </c>
    </row>
    <row r="20" spans="2:18" ht="20.149999999999999" customHeight="1" x14ac:dyDescent="0.45">
      <c r="B20" s="185"/>
      <c r="C20" s="212" t="s">
        <v>757</v>
      </c>
      <c r="D20" s="461" t="str">
        <f>VLOOKUP(C20,'Sales Master'!B$3:D$530,2,)</f>
        <v>Tadpole JELLY  蝌蚪</v>
      </c>
      <c r="E20" s="461"/>
      <c r="F20" s="461"/>
      <c r="G20" s="76">
        <v>1</v>
      </c>
      <c r="H20" s="186" t="str">
        <f>VLOOKUP(C20,'Sales Master'!$B$3:$F$2481,5,0)</f>
        <v>1 KG/ Bag包</v>
      </c>
      <c r="I20" s="497" t="str">
        <f>VLOOKUP(C20,'Sales Master'!$B$3:$E$2481,4,0)</f>
        <v>FJ</v>
      </c>
      <c r="J20" s="497"/>
      <c r="K20" s="80">
        <f>VLOOKUP(C20,'Sales Master'!B$3:L$2396,11,0)</f>
        <v>6.5</v>
      </c>
      <c r="L20" s="64">
        <f>K20*G20</f>
        <v>6.5</v>
      </c>
      <c r="M20" s="65"/>
      <c r="N20" s="145">
        <f>VLOOKUP(C20,'Sales Master'!$B$3:$DA$2272,104,0)</f>
        <v>5.5</v>
      </c>
      <c r="O20" s="145">
        <f>K20-N20</f>
        <v>1</v>
      </c>
      <c r="P20" s="145">
        <f>O20*G20</f>
        <v>1</v>
      </c>
    </row>
    <row r="21" spans="2:18" ht="20.149999999999999" customHeight="1" x14ac:dyDescent="0.45">
      <c r="B21" s="29"/>
      <c r="C21" s="212" t="s">
        <v>828</v>
      </c>
      <c r="D21" s="461" t="str">
        <f>VLOOKUP(C21,'Sales Master'!B$3:D$530,2,)</f>
        <v>Atap Seeds in Syrup 亚嗒子</v>
      </c>
      <c r="E21" s="461"/>
      <c r="F21" s="461"/>
      <c r="G21" s="76">
        <v>2</v>
      </c>
      <c r="H21" s="186" t="str">
        <f>VLOOKUP(C21,'Sales Master'!$B$3:$F$2481,5,0)</f>
        <v>NW(2.1:0.9) 3kg/ Bag包</v>
      </c>
      <c r="I21" s="497" t="str">
        <f>VLOOKUP(C21,'Sales Master'!$B$3:$E$2481,4,0)</f>
        <v>DO!</v>
      </c>
      <c r="J21" s="497"/>
      <c r="K21" s="80">
        <f>VLOOKUP(C21,'Sales Master'!B$3:L$2396,11,0)</f>
        <v>13.8</v>
      </c>
      <c r="L21" s="64">
        <f>K21*G21</f>
        <v>27.6</v>
      </c>
      <c r="M21" s="65"/>
      <c r="N21" s="145">
        <f>VLOOKUP(C21,'Sales Master'!$B$3:$DA$2272,104,0)</f>
        <v>9.6</v>
      </c>
      <c r="O21" s="145">
        <f>K21-N21</f>
        <v>4.2000000000000011</v>
      </c>
      <c r="P21" s="145">
        <f>O21*G21</f>
        <v>8.4000000000000021</v>
      </c>
    </row>
    <row r="22" spans="2:18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80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190"/>
      <c r="L24" s="64"/>
      <c r="M24" s="65"/>
      <c r="N24" s="145"/>
      <c r="O24" s="145"/>
      <c r="P24" s="145"/>
      <c r="R24" s="19">
        <v>1</v>
      </c>
    </row>
    <row r="25" spans="2:18" ht="20.149999999999999" customHeight="1" x14ac:dyDescent="0.45">
      <c r="B25" s="29"/>
      <c r="L25" s="84"/>
      <c r="M25" s="65"/>
    </row>
    <row r="26" spans="2:18" ht="20.149999999999999" customHeight="1" x14ac:dyDescent="0.45">
      <c r="B26" s="29"/>
      <c r="L26" s="64"/>
      <c r="M26" s="65"/>
    </row>
    <row r="27" spans="2:18" ht="20.149999999999999" customHeight="1" x14ac:dyDescent="0.45">
      <c r="B27" s="29"/>
      <c r="C27" s="17"/>
      <c r="D27" s="461"/>
      <c r="E27" s="461"/>
      <c r="F27" s="461"/>
      <c r="G27" s="76"/>
      <c r="H27" s="186"/>
      <c r="I27" s="497"/>
      <c r="J27" s="497"/>
      <c r="K27" s="80"/>
      <c r="L27" s="64"/>
      <c r="M27" s="65"/>
    </row>
    <row r="28" spans="2:18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SUM(L18:L28)</f>
        <v>126.6</v>
      </c>
      <c r="M30" s="63">
        <f>SUM(P18:P28)</f>
        <v>45.8</v>
      </c>
      <c r="N30" s="133">
        <f>M30/L30</f>
        <v>0.3617693522906793</v>
      </c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126.6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11.393999999999998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137.994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I21:J21"/>
    <mergeCell ref="D23:F23"/>
    <mergeCell ref="I23:J23"/>
    <mergeCell ref="D18:F18"/>
    <mergeCell ref="I18:J18"/>
    <mergeCell ref="I22:J22"/>
    <mergeCell ref="D22:F22"/>
    <mergeCell ref="D20:F20"/>
    <mergeCell ref="I20:J20"/>
    <mergeCell ref="D19:F19"/>
    <mergeCell ref="I19:J19"/>
    <mergeCell ref="B1:L8"/>
    <mergeCell ref="D21:F21"/>
    <mergeCell ref="D17:F17"/>
    <mergeCell ref="I17:J17"/>
    <mergeCell ref="K10:L10"/>
    <mergeCell ref="B11:D11"/>
    <mergeCell ref="F11:H15"/>
    <mergeCell ref="B14:D14"/>
    <mergeCell ref="K11:L11"/>
    <mergeCell ref="B12:D12"/>
    <mergeCell ref="K12:L12"/>
    <mergeCell ref="K13:L13"/>
    <mergeCell ref="K14:L14"/>
    <mergeCell ref="K15:L15"/>
    <mergeCell ref="B13:D13"/>
    <mergeCell ref="B15:D15"/>
    <mergeCell ref="D27:F27"/>
    <mergeCell ref="I27:J27"/>
    <mergeCell ref="D24:F24"/>
    <mergeCell ref="I24:J24"/>
    <mergeCell ref="J34:K34"/>
    <mergeCell ref="D28:F28"/>
    <mergeCell ref="I28:J28"/>
    <mergeCell ref="J30:K30"/>
    <mergeCell ref="J32:K32"/>
  </mergeCells>
  <conditionalFormatting sqref="C27">
    <cfRule type="duplicateValues" dxfId="199" priority="4"/>
    <cfRule type="duplicateValues" dxfId="198" priority="1025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41"/>
  <sheetViews>
    <sheetView topLeftCell="B4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2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2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2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2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2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2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2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181</v>
      </c>
      <c r="J10" s="86" t="s">
        <v>27</v>
      </c>
      <c r="K10" s="493">
        <v>202501226</v>
      </c>
      <c r="L10" s="494"/>
    </row>
    <row r="11" spans="2:2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      Block 768 Woodlands Ave 6                     #01-30/31 Singapore 730768                         </v>
      </c>
      <c r="G11" s="481"/>
      <c r="H11" s="482"/>
      <c r="J11" s="87" t="s">
        <v>9</v>
      </c>
      <c r="K11" s="495">
        <v>45667</v>
      </c>
      <c r="L11" s="496"/>
    </row>
    <row r="12" spans="2:2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87" t="s">
        <v>145</v>
      </c>
      <c r="K12" s="544" t="s">
        <v>34</v>
      </c>
      <c r="L12" s="464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87" t="s">
        <v>10</v>
      </c>
      <c r="K13" s="463" t="s">
        <v>12</v>
      </c>
      <c r="L13" s="464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87" t="s">
        <v>28</v>
      </c>
      <c r="K14" s="463" t="s">
        <v>14</v>
      </c>
      <c r="L14" s="464"/>
      <c r="R14" s="19">
        <v>900</v>
      </c>
    </row>
    <row r="15" spans="2:2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88" t="s">
        <v>11</v>
      </c>
      <c r="K15" s="468"/>
      <c r="L15" s="469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17">
        <v>1</v>
      </c>
      <c r="H18" s="188" t="str">
        <f>VLOOKUP(C18,'Sales Master'!B$3:F$2417,5,0)</f>
        <v>5 KG</v>
      </c>
      <c r="I18" s="520" t="str">
        <f>VLOOKUP(C18,'Sales Master'!B$3:E$2417,4,0)</f>
        <v>-</v>
      </c>
      <c r="J18" s="520"/>
      <c r="K18" s="30">
        <f>VLOOKUP(C18,'Sales Master'!B$3:J$530,9,0)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953</v>
      </c>
      <c r="D19" s="461" t="str">
        <f>VLOOKUP(C19,'Sales Master'!B$3:D$530,2,)</f>
        <v>Aloe Vera 芦荟 10mm</v>
      </c>
      <c r="E19" s="461"/>
      <c r="F19" s="461"/>
      <c r="G19" s="17">
        <v>2</v>
      </c>
      <c r="H19" s="188" t="str">
        <f>VLOOKUP(C19,'Sales Master'!B$3:F$2417,5,0)</f>
        <v>1 Can X A10</v>
      </c>
      <c r="I19" s="602" t="str">
        <f>VLOOKUP(C19,'Sales Master'!B$3:E$2417,4,0)</f>
        <v>Chefs</v>
      </c>
      <c r="J19" s="602"/>
      <c r="K19" s="30">
        <f>VLOOKUP(C19,'Sales Master'!B$3:J$530,9,0)</f>
        <v>10</v>
      </c>
      <c r="L19" s="64">
        <f t="shared" ref="L19:L21" si="0">K19*G19</f>
        <v>20</v>
      </c>
      <c r="M19" s="65"/>
    </row>
    <row r="20" spans="2:16" ht="20.149999999999999" customHeight="1" x14ac:dyDescent="0.45">
      <c r="B20" s="29"/>
      <c r="C20" s="212" t="s">
        <v>1011</v>
      </c>
      <c r="D20" s="461" t="str">
        <f>VLOOKUP(C20,'Sales Master'!B$3:D$530,2,)</f>
        <v>Brown Sugar 黑糖</v>
      </c>
      <c r="E20" s="461"/>
      <c r="F20" s="461"/>
      <c r="G20" s="17">
        <v>1</v>
      </c>
      <c r="H20" s="188" t="str">
        <f>VLOOKUP(C20,'Sales Master'!B$3:F$2417,5,0)</f>
        <v>6 KG</v>
      </c>
      <c r="I20" s="602" t="str">
        <f>VLOOKUP(C20,'Sales Master'!B$3:E$2417,4,0)</f>
        <v>Star</v>
      </c>
      <c r="J20" s="602"/>
      <c r="K20" s="30">
        <f>VLOOKUP(C20,'Sales Master'!B$3:J$530,9,0)</f>
        <v>15</v>
      </c>
      <c r="L20" s="64">
        <f t="shared" si="0"/>
        <v>15</v>
      </c>
      <c r="M20" s="65"/>
    </row>
    <row r="21" spans="2:16" ht="20.149999999999999" customHeight="1" x14ac:dyDescent="0.45">
      <c r="B21" s="29"/>
      <c r="C21" s="212" t="s">
        <v>1033</v>
      </c>
      <c r="D21" s="461" t="str">
        <f>VLOOKUP(C21,'Sales Master'!B$3:D$530,2,)</f>
        <v>Pandan Leaf 班兰叶</v>
      </c>
      <c r="E21" s="461"/>
      <c r="F21" s="461"/>
      <c r="G21" s="17">
        <v>2</v>
      </c>
      <c r="H21" s="188" t="str">
        <f>VLOOKUP(C21,'Sales Master'!B$3:F$2417,5,0)</f>
        <v>1 KG</v>
      </c>
      <c r="I21" s="602" t="str">
        <f>VLOOKUP(C21,'Sales Master'!B$3:E$2417,4,0)</f>
        <v>-</v>
      </c>
      <c r="J21" s="602"/>
      <c r="K21" s="30">
        <f>VLOOKUP(C21,'Sales Master'!B$3:J$530,9,0)</f>
        <v>1.8</v>
      </c>
      <c r="L21" s="64">
        <f t="shared" si="0"/>
        <v>3.6</v>
      </c>
      <c r="M21" s="6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17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491"/>
      <c r="J24" s="491"/>
      <c r="K24" s="30"/>
      <c r="L24" s="64"/>
      <c r="M24" s="65"/>
    </row>
    <row r="25" spans="2:16" ht="20.149999999999999" customHeight="1" x14ac:dyDescent="0.45">
      <c r="B25" s="29"/>
      <c r="C25" s="17"/>
      <c r="G25" s="17"/>
      <c r="H25" s="56"/>
      <c r="I25" s="491"/>
      <c r="J25" s="491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527"/>
      <c r="J27" s="527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SUM(L17:L26)</f>
        <v>48.6</v>
      </c>
      <c r="M29" s="63">
        <f>SUM(P18:P28)-L29*0.02</f>
        <v>-0.97200000000000009</v>
      </c>
      <c r="N29" s="133">
        <f>M29/L29</f>
        <v>-0.02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48.6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4.3739999999999997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52.974000000000004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6:F26"/>
    <mergeCell ref="I26:J26"/>
    <mergeCell ref="D27:F27"/>
    <mergeCell ref="I27:J27"/>
    <mergeCell ref="J29:K29"/>
    <mergeCell ref="J31:K31"/>
    <mergeCell ref="I19:J19"/>
    <mergeCell ref="D18:F18"/>
    <mergeCell ref="D21:F21"/>
    <mergeCell ref="I25:J25"/>
    <mergeCell ref="I22:J22"/>
    <mergeCell ref="I24:J24"/>
    <mergeCell ref="D19:F19"/>
    <mergeCell ref="I18:J18"/>
    <mergeCell ref="I21:J21"/>
    <mergeCell ref="D20:F20"/>
    <mergeCell ref="D22:F22"/>
    <mergeCell ref="I20:J20"/>
  </mergeCells>
  <conditionalFormatting sqref="C18">
    <cfRule type="duplicateValues" dxfId="197" priority="1498"/>
  </conditionalFormatting>
  <conditionalFormatting sqref="C19:C27">
    <cfRule type="duplicateValues" dxfId="196" priority="272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42"/>
  <sheetViews>
    <sheetView topLeftCell="A1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f>'#01'!M1</f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78</v>
      </c>
      <c r="J10" s="24" t="s">
        <v>27</v>
      </c>
      <c r="K10" s="493">
        <v>202407376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VLOOKUP(H10,'[1]Delivery Location'!A$4:N$423,2,0)</f>
        <v>Koufu Rasapura Masters                    2, Bayfront Avenue #B2-49A/50A Singapore 018972                               (Drink)</v>
      </c>
      <c r="G11" s="481"/>
      <c r="H11" s="482"/>
      <c r="J11" s="26" t="s">
        <v>9</v>
      </c>
      <c r="K11" s="495">
        <v>45489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2094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445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17">
        <v>5</v>
      </c>
      <c r="H18" s="186" t="str">
        <f>VLOOKUP(C18,'Sales Master'!$B$3:$F$2413,5,0)</f>
        <v>5 KG</v>
      </c>
      <c r="I18" s="497" t="str">
        <f>VLOOKUP(C18,'Sales Master'!$B$3:$E$2413,4,0)</f>
        <v>-</v>
      </c>
      <c r="J18" s="497"/>
      <c r="K18" s="30">
        <f>VLOOKUP(C18,'Sales Master'!$B$3:$J$530,9,0)</f>
        <v>10</v>
      </c>
      <c r="L18" s="64">
        <f>K18*G18</f>
        <v>50</v>
      </c>
      <c r="N18" s="145">
        <f>VLOOKUP(C18,'Sales Master'!$B$3:$DA$2272,104,0)</f>
        <v>7.6</v>
      </c>
      <c r="O18" s="145">
        <f>K18-N18</f>
        <v>2.4000000000000004</v>
      </c>
      <c r="P18" s="145">
        <f>O18*G18</f>
        <v>12.000000000000002</v>
      </c>
    </row>
    <row r="19" spans="2:16" ht="20.149999999999999" customHeight="1" x14ac:dyDescent="0.45">
      <c r="B19" s="29"/>
      <c r="C19" s="212" t="s">
        <v>1022</v>
      </c>
      <c r="D19" s="461" t="str">
        <f>VLOOKUP(C19,'Sales Master'!B$3:D$530,2,)</f>
        <v>Candy Sugar 片糖</v>
      </c>
      <c r="E19" s="461"/>
      <c r="F19" s="461"/>
      <c r="G19" s="17">
        <v>1</v>
      </c>
      <c r="H19" s="186" t="str">
        <f>VLOOKUP(C19,'Sales Master'!$B$3:$F$2413,5,0)</f>
        <v>400 GM x 50 pkt/ Ctn</v>
      </c>
      <c r="I19" s="497" t="str">
        <f>VLOOKUP(C19,'Sales Master'!$B$3:$E$2413,4,0)</f>
        <v>-</v>
      </c>
      <c r="J19" s="497"/>
      <c r="K19" s="30">
        <f>VLOOKUP(C19,'Sales Master'!$B$3:$J$530,9,0)</f>
        <v>45</v>
      </c>
      <c r="L19" s="64">
        <f>K19*G19</f>
        <v>45</v>
      </c>
      <c r="N19" s="145">
        <f>VLOOKUP(C19,'Sales Master'!$B$3:$DA$2272,104,0)</f>
        <v>40</v>
      </c>
      <c r="O19" s="145">
        <f>K19-N19</f>
        <v>5</v>
      </c>
      <c r="P19" s="145">
        <f>O19*G19</f>
        <v>5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95</v>
      </c>
      <c r="M30" s="63">
        <f>SUM(P18:P26)-L30*0.02</f>
        <v>15.1</v>
      </c>
      <c r="N30" s="133">
        <f>M30/L30</f>
        <v>0.15894736842105261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95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8.5499999999999989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103.55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5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41"/>
  <sheetViews>
    <sheetView topLeftCell="A15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182</v>
      </c>
      <c r="J10" s="86" t="s">
        <v>27</v>
      </c>
      <c r="K10" s="493">
        <v>202501225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 Block 768 Woodlands Ave 6                 #01-30/31 Singapore 730768                          </v>
      </c>
      <c r="G11" s="481"/>
      <c r="H11" s="482"/>
      <c r="J11" s="87" t="s">
        <v>9</v>
      </c>
      <c r="K11" s="486">
        <v>45667</v>
      </c>
      <c r="L11" s="487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87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87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87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88" t="s">
        <v>11</v>
      </c>
      <c r="K15" s="468"/>
      <c r="L15" s="469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3</v>
      </c>
      <c r="H18" s="186" t="str">
        <f>VLOOKUP(C18,'Sales Master'!$B$3:$F$2481,5,0)</f>
        <v>(1L x 12bag)/箱</v>
      </c>
      <c r="I18" s="497" t="str">
        <f>VLOOKUP(C18,'Sales Master'!$B$3:$E$2481,4,0)</f>
        <v>Kara UHT</v>
      </c>
      <c r="J18" s="497"/>
      <c r="K18" s="30">
        <f>VLOOKUP(C18,'Sales Master'!B$3:J$530,9,0)</f>
        <v>42</v>
      </c>
      <c r="L18" s="64">
        <f>K18*G18</f>
        <v>126</v>
      </c>
      <c r="M18" s="65"/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18.600000000000009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x14ac:dyDescent="0.45">
      <c r="B22" s="29"/>
      <c r="C22" s="149" t="s">
        <v>2317</v>
      </c>
      <c r="D22" s="403"/>
      <c r="E22" s="403"/>
      <c r="F22" s="403"/>
      <c r="G22" s="76"/>
      <c r="H22" s="186"/>
      <c r="I22" s="497"/>
      <c r="J22" s="497"/>
      <c r="K22" s="19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 t="s">
        <v>990</v>
      </c>
      <c r="D23" s="501" t="str">
        <f>VLOOKUP(C23,'[3]Sales Master'!B$3:D$663,2,0)</f>
        <v>Coconut Milk 椰浆</v>
      </c>
      <c r="E23" s="501"/>
      <c r="F23" s="501"/>
      <c r="G23" s="17">
        <v>1</v>
      </c>
      <c r="H23" s="186" t="str">
        <f>VLOOKUP(C23,'[3]Sales Master'!B$3:F$955,5,0)</f>
        <v>(1L x 12bag)/箱</v>
      </c>
      <c r="I23" s="497" t="str">
        <f>VLOOKUP(C23,'[3]Sales Master'!B$3:E$955,4,0)</f>
        <v>Kara UHT</v>
      </c>
      <c r="J23" s="497"/>
      <c r="K23" s="190">
        <v>48</v>
      </c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57"/>
      <c r="I27" s="527"/>
      <c r="J27" s="527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SUM(L17:L26)</f>
        <v>126</v>
      </c>
      <c r="M29" s="63">
        <f>SUM(P8:P30)-L29*0.02</f>
        <v>16.080000000000009</v>
      </c>
      <c r="N29" s="133">
        <f>M29/L29</f>
        <v>0.12761904761904769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126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11.34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137.34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7"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2:J22"/>
    <mergeCell ref="I23:J23"/>
    <mergeCell ref="D20:F20"/>
    <mergeCell ref="D21:F21"/>
    <mergeCell ref="I17:J17"/>
    <mergeCell ref="D18:F18"/>
    <mergeCell ref="I18:J18"/>
    <mergeCell ref="I20:J20"/>
    <mergeCell ref="I21:J21"/>
    <mergeCell ref="J33:K33"/>
    <mergeCell ref="D26:F26"/>
    <mergeCell ref="I26:J26"/>
    <mergeCell ref="D27:F27"/>
    <mergeCell ref="I27:J27"/>
    <mergeCell ref="J29:K29"/>
    <mergeCell ref="J31:K31"/>
    <mergeCell ref="I25:J25"/>
    <mergeCell ref="D23:F23"/>
    <mergeCell ref="D24:F24"/>
    <mergeCell ref="I24:J24"/>
    <mergeCell ref="D25:F25"/>
  </mergeCells>
  <conditionalFormatting sqref="C18 C20:C21 C24:C27">
    <cfRule type="duplicateValues" dxfId="195" priority="844"/>
  </conditionalFormatting>
  <conditionalFormatting sqref="C19">
    <cfRule type="duplicateValues" dxfId="194" priority="2"/>
  </conditionalFormatting>
  <conditionalFormatting sqref="C22">
    <cfRule type="duplicateValues" dxfId="193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48"/>
  <sheetViews>
    <sheetView topLeftCell="A26" zoomScaleNormal="100" workbookViewId="0">
      <selection activeCell="C33" sqref="C33: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6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6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6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6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6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6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6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183</v>
      </c>
      <c r="J10" s="86" t="s">
        <v>27</v>
      </c>
      <c r="K10" s="493">
        <v>202501131</v>
      </c>
      <c r="L10" s="494"/>
    </row>
    <row r="11" spans="2:16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Fork &amp; Spoon                                               Block 768 Woodlands Ave 6 #01-30/31 Singapore 730768                                         (Dessert)</v>
      </c>
      <c r="G11" s="481"/>
      <c r="H11" s="482"/>
      <c r="J11" s="87" t="s">
        <v>9</v>
      </c>
      <c r="K11" s="495">
        <v>45663</v>
      </c>
      <c r="L11" s="496"/>
    </row>
    <row r="12" spans="2:16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87" t="s">
        <v>145</v>
      </c>
      <c r="K12" s="463" t="s">
        <v>350</v>
      </c>
      <c r="L12" s="464"/>
    </row>
    <row r="13" spans="2:16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87" t="s">
        <v>10</v>
      </c>
      <c r="K13" s="463" t="s">
        <v>445</v>
      </c>
      <c r="L13" s="464"/>
    </row>
    <row r="14" spans="2:16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87" t="s">
        <v>28</v>
      </c>
      <c r="K14" s="463" t="s">
        <v>14</v>
      </c>
      <c r="L14" s="464"/>
    </row>
    <row r="15" spans="2:16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88" t="s">
        <v>11</v>
      </c>
      <c r="K15" s="468"/>
      <c r="L15" s="469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1"/>
      <c r="G17" s="112" t="s">
        <v>405</v>
      </c>
      <c r="H17" s="110" t="s">
        <v>29</v>
      </c>
      <c r="I17" s="528" t="s">
        <v>53</v>
      </c>
      <c r="J17" s="528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4"/>
      <c r="C18" s="212" t="s">
        <v>722</v>
      </c>
      <c r="D18" s="545" t="str">
        <f>VLOOKUP(C18,'Sales Master'!B$3:D$530,2,)</f>
        <v xml:space="preserve">Fresh Soursop 红毛榴莲 </v>
      </c>
      <c r="E18" s="545"/>
      <c r="F18" s="545"/>
      <c r="G18" s="17">
        <v>2</v>
      </c>
      <c r="H18" s="85" t="str">
        <f>VLOOKUP(C18,'Sales Master'!$B$3:$F$2481,5,0)</f>
        <v>GW:5 KG/ Tub桶</v>
      </c>
      <c r="I18" s="497" t="str">
        <f>VLOOKUP(C18,'Sales Master'!$B$3:$E$2481,4,0)</f>
        <v>DO!</v>
      </c>
      <c r="J18" s="497"/>
      <c r="K18" s="30">
        <f>VLOOKUP(C18,'Sales Master'!B$3:AR$530,43,0)</f>
        <v>31</v>
      </c>
      <c r="L18" s="64">
        <f t="shared" ref="L18" si="0">K18*G18</f>
        <v>62</v>
      </c>
      <c r="M18" s="65"/>
      <c r="O18" s="63"/>
      <c r="P18" s="63"/>
    </row>
    <row r="19" spans="2:17" ht="20.149999999999999" customHeight="1" x14ac:dyDescent="0.45">
      <c r="B19" s="29"/>
      <c r="C19" s="212" t="s">
        <v>741</v>
      </c>
      <c r="D19" s="492" t="str">
        <f>VLOOKUP(C19,'Sales Master'!B$3:D$530,2,)</f>
        <v>Pong Thai Hai (Wet) 碰大海(湿)</v>
      </c>
      <c r="E19" s="492"/>
      <c r="F19" s="492"/>
      <c r="G19" s="17">
        <v>2</v>
      </c>
      <c r="H19" s="85" t="str">
        <f>VLOOKUP(C19,'Sales Master'!$B$3:$F$2481,5,0)</f>
        <v>1 KG/ Pkt包</v>
      </c>
      <c r="I19" s="497" t="str">
        <f>VLOOKUP(C19,'Sales Master'!$B$3:$E$2481,4,0)</f>
        <v>DO!</v>
      </c>
      <c r="J19" s="497"/>
      <c r="K19" s="30">
        <f>VLOOKUP(C19,'Sales Master'!B$3:AR$530,43,0)</f>
        <v>10</v>
      </c>
      <c r="L19" s="64">
        <f>K19*G19</f>
        <v>20</v>
      </c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2" t="s">
        <v>841</v>
      </c>
      <c r="D20" s="492" t="str">
        <f>VLOOKUP(C20,'Sales Master'!B$3:D$530,2,)</f>
        <v>Small Red Bean 小红豆</v>
      </c>
      <c r="E20" s="492"/>
      <c r="F20" s="492"/>
      <c r="G20" s="17">
        <v>4</v>
      </c>
      <c r="H20" s="85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Master'!B$3:AR$530,43,0)</f>
        <v>17.5</v>
      </c>
      <c r="L20" s="64">
        <f>K20*G20</f>
        <v>70</v>
      </c>
      <c r="M20" s="65"/>
      <c r="O20" s="63"/>
      <c r="P20" s="63"/>
    </row>
    <row r="21" spans="2:17" ht="20.149999999999999" customHeight="1" x14ac:dyDescent="0.45">
      <c r="B21" s="29"/>
      <c r="C21" s="212" t="s">
        <v>861</v>
      </c>
      <c r="D21" s="492" t="str">
        <f>VLOOKUP(C21,'Sales Master'!B$3:D$530,2,)</f>
        <v>Black Glutinous Rice 黑糯米</v>
      </c>
      <c r="E21" s="492"/>
      <c r="F21" s="492"/>
      <c r="G21" s="17">
        <v>4</v>
      </c>
      <c r="H21" s="85" t="str">
        <f>VLOOKUP(C21,'Sales Master'!$B$3:$F$2481,5,0)</f>
        <v>5 KGS</v>
      </c>
      <c r="I21" s="497" t="str">
        <f>VLOOKUP(C21,'Sales Master'!$B$3:$E$2481,4,0)</f>
        <v>-</v>
      </c>
      <c r="J21" s="497"/>
      <c r="K21" s="30">
        <f>VLOOKUP(C21,'Sales Master'!B$3:AR$530,43,0)</f>
        <v>18</v>
      </c>
      <c r="L21" s="64">
        <f>K21*G21</f>
        <v>72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2" t="s">
        <v>868</v>
      </c>
      <c r="D22" s="492" t="str">
        <f>VLOOKUP(C22,'Sales Master'!B$3:D$530,2,)</f>
        <v>White Wheat 大麦</v>
      </c>
      <c r="E22" s="492"/>
      <c r="F22" s="492"/>
      <c r="G22" s="17">
        <v>1</v>
      </c>
      <c r="H22" s="85" t="str">
        <f>VLOOKUP(C22,'Sales Master'!$B$3:$F$2481,5,0)</f>
        <v>10 PKT/ Bag</v>
      </c>
      <c r="I22" s="497" t="str">
        <f>VLOOKUP(C22,'Sales Master'!$B$3:$E$2481,4,0)</f>
        <v>-</v>
      </c>
      <c r="J22" s="497"/>
      <c r="K22" s="30">
        <f>VLOOKUP(C22,'Sales Master'!B$3:AR$530,43,0)</f>
        <v>9.5</v>
      </c>
      <c r="L22" s="64">
        <f t="shared" ref="L22:L29" si="1">K22*G22</f>
        <v>9.5</v>
      </c>
      <c r="M22" s="65"/>
      <c r="O22" s="63"/>
      <c r="P22" s="63"/>
    </row>
    <row r="23" spans="2:17" ht="20.149999999999999" customHeight="1" x14ac:dyDescent="0.45">
      <c r="B23" s="29"/>
      <c r="C23" s="212" t="s">
        <v>873</v>
      </c>
      <c r="D23" s="492" t="str">
        <f>VLOOKUP(C23,'Sales Master'!B$3:D$530,2,)</f>
        <v>Big Sago 大丸</v>
      </c>
      <c r="E23" s="492"/>
      <c r="F23" s="492"/>
      <c r="G23" s="17">
        <v>1</v>
      </c>
      <c r="H23" s="85" t="str">
        <f>VLOOKUP(C23,'Sales Master'!$B$3:$F$2481,5,0)</f>
        <v>5 KG</v>
      </c>
      <c r="I23" s="497" t="str">
        <f>VLOOKUP(C23,'Sales Master'!$B$3:$E$2481,4,0)</f>
        <v>-</v>
      </c>
      <c r="J23" s="497"/>
      <c r="K23" s="30">
        <f>VLOOKUP(C23,'Sales Master'!B$3:AR$530,43,0)</f>
        <v>11</v>
      </c>
      <c r="L23" s="64">
        <f t="shared" si="1"/>
        <v>11</v>
      </c>
      <c r="M23" s="65"/>
      <c r="O23" s="63"/>
      <c r="P23" s="63"/>
    </row>
    <row r="24" spans="2:17" ht="20.149999999999999" customHeight="1" x14ac:dyDescent="0.45">
      <c r="B24" s="29"/>
      <c r="C24" s="212" t="s">
        <v>877</v>
      </c>
      <c r="D24" s="492" t="str">
        <f>VLOOKUP(C24,'Sales Master'!B$3:D$530,2,)</f>
        <v>Small Sago 小丸</v>
      </c>
      <c r="E24" s="492"/>
      <c r="F24" s="492"/>
      <c r="G24" s="17">
        <v>1</v>
      </c>
      <c r="H24" s="85" t="str">
        <f>VLOOKUP(C24,'Sales Master'!$B$3:$F$2481,5,0)</f>
        <v>5 KG</v>
      </c>
      <c r="I24" s="497" t="str">
        <f>VLOOKUP(C24,'Sales Master'!$B$3:$E$2481,4,0)</f>
        <v>-</v>
      </c>
      <c r="J24" s="497"/>
      <c r="K24" s="30">
        <f>VLOOKUP(C24,'Sales Master'!B$3:AR$530,43,0)</f>
        <v>10</v>
      </c>
      <c r="L24" s="64">
        <f t="shared" si="1"/>
        <v>10</v>
      </c>
      <c r="M24" s="65"/>
      <c r="O24" s="63"/>
      <c r="P24" s="63"/>
    </row>
    <row r="25" spans="2:17" ht="20.149999999999999" customHeight="1" x14ac:dyDescent="0.45">
      <c r="B25" s="29"/>
      <c r="C25" s="212" t="s">
        <v>886</v>
      </c>
      <c r="D25" s="492" t="str">
        <f>VLOOKUP(C25,'Sales Master'!B$3:D$530,2,)</f>
        <v>Fungus黄 木耳朵</v>
      </c>
      <c r="E25" s="492"/>
      <c r="F25" s="492"/>
      <c r="G25" s="17">
        <v>1</v>
      </c>
      <c r="H25" s="85" t="str">
        <f>VLOOKUP(C25,'Sales Master'!$B$3:$F$2481,5,0)</f>
        <v>1 kg</v>
      </c>
      <c r="I25" s="497" t="str">
        <f>VLOOKUP(C25,'Sales Master'!$B$3:$E$2481,4,0)</f>
        <v>黄</v>
      </c>
      <c r="J25" s="497"/>
      <c r="K25" s="30">
        <f>VLOOKUP(C25,'Sales Master'!B$3:AR$530,43,0)</f>
        <v>16</v>
      </c>
      <c r="L25" s="64">
        <f>K25*G25</f>
        <v>16</v>
      </c>
      <c r="M25" s="65"/>
      <c r="O25" s="63"/>
      <c r="P25" s="63"/>
    </row>
    <row r="26" spans="2:17" ht="20.149999999999999" customHeight="1" x14ac:dyDescent="0.45">
      <c r="B26" s="29"/>
      <c r="C26" s="212" t="s">
        <v>949</v>
      </c>
      <c r="D26" s="492" t="str">
        <f>VLOOKUP(C26,'Sales Master'!B$3:D$530,2,)</f>
        <v>Nata 椰果芊 15mm</v>
      </c>
      <c r="E26" s="492"/>
      <c r="F26" s="492"/>
      <c r="G26" s="17">
        <v>1</v>
      </c>
      <c r="H26" s="85" t="str">
        <f>VLOOKUP(C26,'Sales Master'!$B$3:$F$2481,5,0)</f>
        <v>1 Can X A10 /罐</v>
      </c>
      <c r="I26" s="497" t="str">
        <f>VLOOKUP(C26,'Sales Master'!$B$3:$E$2481,4,0)</f>
        <v>Chefs</v>
      </c>
      <c r="J26" s="497"/>
      <c r="K26" s="30">
        <f>VLOOKUP(C26,'Sales Master'!B$3:AR$530,43,0)</f>
        <v>9.5</v>
      </c>
      <c r="L26" s="64">
        <f t="shared" si="1"/>
        <v>9.5</v>
      </c>
      <c r="M26" s="65"/>
      <c r="O26" s="63"/>
      <c r="P26" s="63"/>
    </row>
    <row r="27" spans="2:17" ht="20.149999999999999" customHeight="1" x14ac:dyDescent="0.45">
      <c r="B27" s="29"/>
      <c r="C27" s="212" t="s">
        <v>990</v>
      </c>
      <c r="D27" s="492" t="str">
        <f>VLOOKUP(C27,'Sales Master'!B$3:D$530,2,)</f>
        <v>Coconut Milk 椰浆</v>
      </c>
      <c r="E27" s="492"/>
      <c r="F27" s="492"/>
      <c r="G27" s="17">
        <v>2</v>
      </c>
      <c r="H27" s="85" t="str">
        <f>VLOOKUP(C27,'Sales Master'!$B$3:$F$2481,5,0)</f>
        <v>(1L x 12bag)/箱</v>
      </c>
      <c r="I27" s="497" t="str">
        <f>VLOOKUP(C27,'Sales Master'!$B$3:$E$2481,4,0)</f>
        <v>Kara UHT</v>
      </c>
      <c r="J27" s="497"/>
      <c r="K27" s="30">
        <f>VLOOKUP(C27,'Sales Master'!B$3:AR$530,43,0)</f>
        <v>42</v>
      </c>
      <c r="L27" s="64">
        <f>K27*G27</f>
        <v>84</v>
      </c>
      <c r="M27" s="65"/>
      <c r="O27" s="63"/>
      <c r="P27" s="63"/>
    </row>
    <row r="28" spans="2:17" ht="20.149999999999999" customHeight="1" x14ac:dyDescent="0.45">
      <c r="B28" s="29"/>
      <c r="C28" s="212" t="s">
        <v>1179</v>
      </c>
      <c r="D28" s="492" t="str">
        <f>VLOOKUP(C28,'Sales Master'!B$3:D$530,2,)</f>
        <v>Fruit Cocktail 杂果</v>
      </c>
      <c r="E28" s="492"/>
      <c r="F28" s="492"/>
      <c r="G28" s="17">
        <v>1</v>
      </c>
      <c r="H28" s="85" t="str">
        <f>VLOOKUP(C28,'Sales Master'!$B$3:$F$2481,5,0)</f>
        <v>(836gm x 12)/ Ctn箱</v>
      </c>
      <c r="I28" s="497" t="str">
        <f>VLOOKUP(C28,'Sales Master'!$B$3:$E$2481,4,0)</f>
        <v>Hosen</v>
      </c>
      <c r="J28" s="497"/>
      <c r="K28" s="30">
        <f>VLOOKUP(C28,'Sales Master'!B$3:AR$530,43,0)</f>
        <v>25</v>
      </c>
      <c r="L28" s="64">
        <f>K28*G28</f>
        <v>25</v>
      </c>
      <c r="M28" s="65"/>
      <c r="O28" s="63"/>
      <c r="P28" s="63"/>
    </row>
    <row r="29" spans="2:17" ht="20.149999999999999" customHeight="1" x14ac:dyDescent="0.45">
      <c r="B29" s="29"/>
      <c r="C29" s="212" t="s">
        <v>1031</v>
      </c>
      <c r="D29" s="492" t="str">
        <f>VLOOKUP(C29,'Sales Master'!B$3:D$530,2,)</f>
        <v>Yam 芋头</v>
      </c>
      <c r="E29" s="492"/>
      <c r="F29" s="492"/>
      <c r="G29" s="17">
        <v>5</v>
      </c>
      <c r="H29" s="85" t="str">
        <f>VLOOKUP(C29,'Sales Master'!$B$3:$F$2481,5,0)</f>
        <v>1 KG</v>
      </c>
      <c r="I29" s="497" t="str">
        <f>VLOOKUP(C29,'Sales Master'!$B$3:$E$2481,4,0)</f>
        <v>Malaysia</v>
      </c>
      <c r="J29" s="497"/>
      <c r="K29" s="30">
        <f>VLOOKUP(C29,'Sales Master'!B$3:AR$530,43,0)</f>
        <v>3</v>
      </c>
      <c r="L29" s="64">
        <f t="shared" si="1"/>
        <v>15</v>
      </c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2" t="s">
        <v>1033</v>
      </c>
      <c r="D30" s="492" t="str">
        <f>VLOOKUP(C30,'Sales Master'!B$3:D$530,2,)</f>
        <v>Pandan Leaf 班兰叶</v>
      </c>
      <c r="E30" s="492"/>
      <c r="F30" s="492"/>
      <c r="G30" s="17">
        <v>3</v>
      </c>
      <c r="H30" s="85" t="str">
        <f>VLOOKUP(C30,'Sales Master'!$B$3:$F$2481,5,0)</f>
        <v>1 KG</v>
      </c>
      <c r="I30" s="497" t="str">
        <f>VLOOKUP(C30,'Sales Master'!$B$3:$E$2481,4,0)</f>
        <v>-</v>
      </c>
      <c r="J30" s="497"/>
      <c r="K30" s="30">
        <f>VLOOKUP(C30,'Sales Master'!B$3:AR$530,43,0)</f>
        <v>1.8</v>
      </c>
      <c r="L30" s="64">
        <f t="shared" ref="L30" si="2">K30*G30</f>
        <v>5.4</v>
      </c>
      <c r="M30" s="65"/>
      <c r="N30" s="145"/>
      <c r="O30" s="145"/>
      <c r="P30" s="145"/>
      <c r="Q30" s="63"/>
    </row>
    <row r="31" spans="2:17" ht="20.149999999999999" customHeight="1" x14ac:dyDescent="0.45">
      <c r="B31" s="29"/>
      <c r="C31" s="212"/>
      <c r="D31" s="420"/>
      <c r="E31" s="420"/>
      <c r="F31" s="420"/>
      <c r="G31" s="17"/>
      <c r="H31" s="85"/>
      <c r="I31" s="208"/>
      <c r="J31" s="208"/>
      <c r="K31" s="30"/>
      <c r="L31" s="64"/>
      <c r="M31" s="65"/>
      <c r="N31" s="145"/>
      <c r="O31" s="145"/>
      <c r="P31" s="145"/>
      <c r="Q31" s="63"/>
    </row>
    <row r="32" spans="2:17" ht="20.149999999999999" customHeight="1" x14ac:dyDescent="0.45">
      <c r="B32" s="29"/>
      <c r="C32" s="212"/>
      <c r="G32" s="17"/>
      <c r="H32" s="85"/>
      <c r="I32" s="208"/>
      <c r="J32" s="208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149" t="s">
        <v>2317</v>
      </c>
      <c r="D33" s="403"/>
      <c r="E33" s="403"/>
      <c r="F33" s="403"/>
      <c r="G33" s="76"/>
      <c r="H33" s="186"/>
      <c r="I33" s="497"/>
      <c r="J33" s="497"/>
      <c r="K33" s="190"/>
      <c r="L33" s="64"/>
      <c r="M33" s="65"/>
      <c r="N33" s="145"/>
      <c r="O33" s="145"/>
      <c r="P33" s="145"/>
      <c r="Q33" s="63"/>
    </row>
    <row r="34" spans="2:17" ht="20.149999999999999" customHeight="1" x14ac:dyDescent="0.45">
      <c r="B34" s="29"/>
      <c r="C34" s="212" t="s">
        <v>990</v>
      </c>
      <c r="D34" s="501" t="str">
        <f>VLOOKUP(C34,'[3]Sales Master'!B$3:D$663,2,0)</f>
        <v>Coconut Milk 椰浆</v>
      </c>
      <c r="E34" s="501"/>
      <c r="F34" s="501"/>
      <c r="G34" s="17">
        <v>1</v>
      </c>
      <c r="H34" s="186" t="str">
        <f>VLOOKUP(C34,'[3]Sales Master'!B$3:F$955,5,0)</f>
        <v>(1L x 12bag)/箱</v>
      </c>
      <c r="I34" s="497" t="str">
        <f>VLOOKUP(C34,'[3]Sales Master'!B$3:E$955,4,0)</f>
        <v>Kara UHT</v>
      </c>
      <c r="J34" s="497"/>
      <c r="K34" s="190">
        <v>48</v>
      </c>
      <c r="L34" s="64"/>
      <c r="M34" s="65"/>
      <c r="N34" s="145"/>
      <c r="O34" s="145"/>
      <c r="P34" s="145"/>
      <c r="Q34" s="63"/>
    </row>
    <row r="35" spans="2:17" ht="20.149999999999999" customHeight="1" thickBot="1" x14ac:dyDescent="0.5">
      <c r="B35" s="199"/>
      <c r="C35" s="200"/>
      <c r="D35" s="48"/>
      <c r="E35" s="48"/>
      <c r="F35" s="48"/>
      <c r="G35" s="33"/>
      <c r="H35" s="57"/>
      <c r="I35" s="57"/>
      <c r="J35" s="57"/>
      <c r="K35" s="34"/>
      <c r="L35" s="75"/>
    </row>
    <row r="36" spans="2:17" ht="20.149999999999999" customHeight="1" thickBot="1" x14ac:dyDescent="0.5">
      <c r="B36" s="10" t="s">
        <v>16</v>
      </c>
      <c r="L36" s="37"/>
    </row>
    <row r="37" spans="2:17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455" t="s">
        <v>13</v>
      </c>
      <c r="K37" s="456"/>
      <c r="L37" s="38">
        <f>SUM(L18:L35)</f>
        <v>409.4</v>
      </c>
      <c r="M37" s="63"/>
      <c r="N37" s="133"/>
    </row>
    <row r="38" spans="2:17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7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409.4</v>
      </c>
    </row>
    <row r="40" spans="2:17" ht="20.149999999999999" customHeight="1" x14ac:dyDescent="0.45">
      <c r="B40" s="10" t="s">
        <v>23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36.845999999999997</v>
      </c>
    </row>
    <row r="41" spans="2:17" ht="20.149999999999999" customHeight="1" thickBot="1" x14ac:dyDescent="0.5">
      <c r="B41" s="10" t="s">
        <v>24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446.24599999999998</v>
      </c>
    </row>
    <row r="42" spans="2:17" ht="20.149999999999999" customHeight="1" x14ac:dyDescent="0.45">
      <c r="B42" s="36"/>
      <c r="J42" s="19"/>
      <c r="L42" s="37"/>
    </row>
    <row r="43" spans="2:17" ht="20.149999999999999" customHeight="1" x14ac:dyDescent="0.45">
      <c r="B43" s="36"/>
      <c r="J43" s="19"/>
      <c r="L43" s="37"/>
    </row>
    <row r="44" spans="2:17" ht="20.149999999999999" customHeight="1" x14ac:dyDescent="0.45">
      <c r="B44" s="36"/>
      <c r="J44" s="19"/>
      <c r="L44" s="37"/>
    </row>
    <row r="45" spans="2:17" ht="20.149999999999999" customHeight="1" x14ac:dyDescent="0.45">
      <c r="B45" s="44"/>
      <c r="C45" s="45"/>
      <c r="D45" s="45"/>
      <c r="J45" s="45"/>
      <c r="K45" s="45"/>
      <c r="L45" s="46"/>
    </row>
    <row r="46" spans="2:17" ht="20.149999999999999" customHeight="1" x14ac:dyDescent="0.45">
      <c r="B46" s="36" t="s">
        <v>25</v>
      </c>
      <c r="J46" s="19" t="s">
        <v>26</v>
      </c>
      <c r="L46" s="37"/>
    </row>
    <row r="47" spans="2:17" ht="20.149999999999999" customHeight="1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7" ht="20.5" x14ac:dyDescent="0.45">
      <c r="F48" s="201"/>
    </row>
  </sheetData>
  <mergeCells count="47">
    <mergeCell ref="K14:L1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  <mergeCell ref="D21:F21"/>
    <mergeCell ref="I21:J21"/>
    <mergeCell ref="D28:F28"/>
    <mergeCell ref="I28:J28"/>
    <mergeCell ref="D18:F18"/>
    <mergeCell ref="D20:F20"/>
    <mergeCell ref="I18:J18"/>
    <mergeCell ref="I20:J20"/>
    <mergeCell ref="D19:F19"/>
    <mergeCell ref="I19:J19"/>
    <mergeCell ref="D27:F27"/>
    <mergeCell ref="I22:J22"/>
    <mergeCell ref="I23:J23"/>
    <mergeCell ref="I24:J24"/>
    <mergeCell ref="I26:J26"/>
    <mergeCell ref="I25:J25"/>
    <mergeCell ref="J41:K41"/>
    <mergeCell ref="J39:K39"/>
    <mergeCell ref="J37:K37"/>
    <mergeCell ref="I30:J30"/>
    <mergeCell ref="D29:F29"/>
    <mergeCell ref="I29:J29"/>
    <mergeCell ref="D30:F30"/>
    <mergeCell ref="I33:J33"/>
    <mergeCell ref="D34:F34"/>
    <mergeCell ref="I34:J34"/>
    <mergeCell ref="I27:J27"/>
    <mergeCell ref="D22:F22"/>
    <mergeCell ref="D23:F23"/>
    <mergeCell ref="D24:F24"/>
    <mergeCell ref="D26:F26"/>
    <mergeCell ref="D25:F25"/>
  </mergeCells>
  <conditionalFormatting sqref="C18:C32">
    <cfRule type="duplicateValues" dxfId="192" priority="2724"/>
  </conditionalFormatting>
  <conditionalFormatting sqref="C35">
    <cfRule type="duplicateValues" dxfId="191" priority="643"/>
  </conditionalFormatting>
  <conditionalFormatting sqref="C33">
    <cfRule type="duplicateValues" dxfId="190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43"/>
  <sheetViews>
    <sheetView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</v>
      </c>
      <c r="J10" s="24" t="s">
        <v>27</v>
      </c>
      <c r="K10" s="493">
        <v>202501217</v>
      </c>
      <c r="L10" s="494"/>
    </row>
    <row r="11" spans="2:12" ht="20.149999999999999" customHeight="1" x14ac:dyDescent="0.45">
      <c r="B11" s="477" t="s">
        <v>380</v>
      </c>
      <c r="C11" s="478"/>
      <c r="D11" s="479"/>
      <c r="E11" s="25"/>
      <c r="F11" s="480" t="str">
        <f>VLOOKUP(H10,'Delivery Location'!A$4:N$460,2,0)</f>
        <v>Xi Yue Yuan Pte Ltd                                  Pioneer Central, 1 Soon Lee Street #01-32 Singapore 627605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381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559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671</v>
      </c>
      <c r="L13" s="464"/>
    </row>
    <row r="14" spans="2:12" ht="20.149999999999999" customHeight="1" x14ac:dyDescent="0.45">
      <c r="B14" s="488" t="s">
        <v>560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382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29"/>
      <c r="C18" s="212" t="s">
        <v>2201</v>
      </c>
      <c r="D18" s="461" t="str">
        <f>VLOOKUP(C18,'Sales Master'!B$3:D$530,2,)</f>
        <v>Coconut Sugar Syrup 椰糖浆</v>
      </c>
      <c r="E18" s="461"/>
      <c r="F18" s="461"/>
      <c r="G18" s="76">
        <v>2</v>
      </c>
      <c r="H18" s="415" t="str">
        <f>VLOOKUP(C18,'Sales Master'!$B$3:$F$2481,5,0)</f>
        <v>GW: 5 KG/ Btl支</v>
      </c>
      <c r="I18" s="491" t="str">
        <f>VLOOKUP(C18,'Sales Master'!$B$3:$E$2481,4,0)</f>
        <v>DO!</v>
      </c>
      <c r="J18" s="491"/>
      <c r="K18" s="80">
        <f>VLOOKUP(C18,'Sales Master'!B$3:S$530,18,0)</f>
        <v>20</v>
      </c>
      <c r="L18" s="64">
        <f>K18*G18</f>
        <v>40</v>
      </c>
      <c r="M18" s="65"/>
      <c r="N18" s="145">
        <f>VLOOKUP(C18,'Sales Master'!$B$3:$DA$2272,104,0)</f>
        <v>8.89</v>
      </c>
      <c r="O18" s="145">
        <f>K18-N18</f>
        <v>11.11</v>
      </c>
      <c r="P18" s="145">
        <f>O18*G18</f>
        <v>22.22</v>
      </c>
      <c r="R18" s="19">
        <v>1</v>
      </c>
      <c r="S18" s="19" t="s">
        <v>54</v>
      </c>
      <c r="T18" s="19" t="s">
        <v>347</v>
      </c>
      <c r="V18" s="19">
        <v>7.5</v>
      </c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491"/>
      <c r="J19" s="491"/>
      <c r="K19" s="8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426</v>
      </c>
      <c r="V19" s="19">
        <v>15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80"/>
      <c r="L20" s="64"/>
      <c r="M20" s="65"/>
      <c r="R20" s="19">
        <v>1</v>
      </c>
      <c r="S20" s="19" t="s">
        <v>52</v>
      </c>
      <c r="T20" s="19" t="s">
        <v>453</v>
      </c>
      <c r="V20" s="19">
        <v>42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80"/>
      <c r="L21" s="64"/>
      <c r="M21" s="65"/>
      <c r="R21" s="19">
        <v>1</v>
      </c>
      <c r="S21" s="19" t="s">
        <v>43</v>
      </c>
      <c r="T21" s="19" t="s">
        <v>449</v>
      </c>
      <c r="V21" s="19">
        <v>19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80"/>
      <c r="L22" s="64"/>
      <c r="M22" s="65"/>
      <c r="R22" s="19">
        <v>1</v>
      </c>
      <c r="S22" s="19" t="s">
        <v>41</v>
      </c>
      <c r="T22" s="19" t="s">
        <v>85</v>
      </c>
      <c r="V22" s="19">
        <v>15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80"/>
      <c r="L23" s="64"/>
      <c r="M23" s="65"/>
      <c r="R23" s="19">
        <v>1</v>
      </c>
      <c r="S23" s="19" t="s">
        <v>353</v>
      </c>
      <c r="T23" s="19" t="s">
        <v>47</v>
      </c>
      <c r="V23" s="19">
        <v>8</v>
      </c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80"/>
      <c r="L24" s="64"/>
      <c r="M24" s="65"/>
      <c r="R24" s="19">
        <v>3</v>
      </c>
      <c r="S24" s="19" t="s">
        <v>214</v>
      </c>
      <c r="T24" s="19" t="s">
        <v>32</v>
      </c>
      <c r="V24" s="19">
        <v>13</v>
      </c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80"/>
      <c r="L25" s="64"/>
      <c r="M25" s="65"/>
      <c r="R25" s="19">
        <v>1</v>
      </c>
      <c r="S25" s="19" t="s">
        <v>34</v>
      </c>
      <c r="T25" s="19" t="s">
        <v>64</v>
      </c>
      <c r="V25" s="19">
        <v>9.5</v>
      </c>
    </row>
    <row r="26" spans="2:22" ht="20.149999999999999" customHeight="1" x14ac:dyDescent="0.45">
      <c r="B26" s="29"/>
      <c r="C26" s="17"/>
      <c r="G26" s="76"/>
      <c r="H26" s="56"/>
      <c r="I26" s="491"/>
      <c r="J26" s="491"/>
      <c r="K26" s="80"/>
      <c r="L26" s="64"/>
      <c r="M26" s="65"/>
      <c r="R26" s="19">
        <v>3</v>
      </c>
      <c r="S26" s="19" t="s">
        <v>34</v>
      </c>
      <c r="T26" s="19" t="s">
        <v>66</v>
      </c>
      <c r="V26" s="19">
        <v>2</v>
      </c>
    </row>
    <row r="27" spans="2:22" ht="20.149999999999999" customHeight="1" x14ac:dyDescent="0.45">
      <c r="B27" s="29"/>
      <c r="C27" s="17"/>
      <c r="G27" s="76"/>
      <c r="H27" s="56"/>
      <c r="I27" s="491"/>
      <c r="J27" s="491"/>
      <c r="K27" s="80"/>
      <c r="L27" s="64"/>
      <c r="M27" s="65"/>
      <c r="R27" s="19">
        <v>2</v>
      </c>
      <c r="S27" s="19" t="s">
        <v>34</v>
      </c>
      <c r="T27" s="19" t="s">
        <v>32</v>
      </c>
      <c r="V27" s="19">
        <v>2</v>
      </c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80"/>
      <c r="L28" s="64"/>
    </row>
    <row r="29" spans="2:22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SUM(L17:L28)</f>
        <v>40</v>
      </c>
      <c r="M31" s="63">
        <f>SUM(P18:P29)</f>
        <v>22.22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40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3.5999999999999996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43.6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47"/>
  <sheetViews>
    <sheetView topLeftCell="A15" zoomScaleNormal="100" workbookViewId="0">
      <selection activeCell="M20" sqref="M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26953125" style="19" bestFit="1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</v>
      </c>
      <c r="J10" s="24" t="s">
        <v>27</v>
      </c>
      <c r="K10" s="493">
        <v>202501202</v>
      </c>
      <c r="L10" s="494"/>
    </row>
    <row r="11" spans="2:12" ht="20.149999999999999" customHeight="1" x14ac:dyDescent="0.45">
      <c r="B11" s="477" t="s">
        <v>380</v>
      </c>
      <c r="C11" s="478"/>
      <c r="D11" s="479"/>
      <c r="E11" s="25"/>
      <c r="F11" s="480" t="str">
        <f>VLOOKUP(H10,'Delivery Location'!A$4:N$460,2,0)</f>
        <v xml:space="preserve">Spectrum Food Centre Pte Ltd               No.2 Woodlands Sector 1. #01-28  Woodlands Spectrum 1. Singapore 738068              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381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559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472</v>
      </c>
      <c r="L13" s="464"/>
    </row>
    <row r="14" spans="2:12" ht="20.149999999999999" customHeight="1" x14ac:dyDescent="0.45">
      <c r="B14" s="488" t="s">
        <v>560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382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890</v>
      </c>
      <c r="D18" s="461" t="str">
        <f>VLOOKUP(C18,'Sales Master'!B$3:D$530,2,)</f>
        <v>Dried Persimmon 柿子</v>
      </c>
      <c r="E18" s="461"/>
      <c r="F18" s="461"/>
      <c r="G18" s="76">
        <v>1</v>
      </c>
      <c r="H18" s="186" t="str">
        <f>VLOOKUP(C18,'Sales Master'!$B$3:$F$2481,5,0)</f>
        <v>800 GMS</v>
      </c>
      <c r="I18" s="497" t="str">
        <f>VLOOKUP(C18,'Sales Master'!$B$3:$E$2481,4,0)</f>
        <v>AA</v>
      </c>
      <c r="J18" s="497"/>
      <c r="K18" s="80">
        <f>VLOOKUP(C18,'Sales Master'!B$3:S$502,18,0)</f>
        <v>10</v>
      </c>
      <c r="L18" s="64">
        <f t="shared" ref="L18" si="0">K18*G18</f>
        <v>10</v>
      </c>
      <c r="M18" s="65"/>
      <c r="N18" s="145">
        <f>VLOOKUP(C18,'Sales Master'!$B$3:$DA$2272,104,0)</f>
        <v>5.6</v>
      </c>
      <c r="O18" s="145">
        <f t="shared" ref="O18" si="1">K18-N18</f>
        <v>4.4000000000000004</v>
      </c>
      <c r="P18" s="145">
        <f t="shared" ref="P18" si="2">O18*G18</f>
        <v>4.4000000000000004</v>
      </c>
    </row>
    <row r="19" spans="2:16" ht="20.149999999999999" customHeight="1" x14ac:dyDescent="0.45">
      <c r="B19" s="29"/>
      <c r="C19" s="212" t="s">
        <v>1033</v>
      </c>
      <c r="D19" s="461" t="str">
        <f>VLOOKUP(C19,'Sales Master'!B$3:D$530,2,)</f>
        <v>Pandan Leaf 班兰叶</v>
      </c>
      <c r="E19" s="461"/>
      <c r="F19" s="461"/>
      <c r="G19" s="76">
        <v>2</v>
      </c>
      <c r="H19" s="186" t="str">
        <f>VLOOKUP(C19,'Sales Master'!$B$3:$F$2481,5,0)</f>
        <v>1 KG</v>
      </c>
      <c r="I19" s="497" t="str">
        <f>VLOOKUP(C19,'Sales Master'!$B$3:$E$2481,4,0)</f>
        <v>-</v>
      </c>
      <c r="J19" s="497"/>
      <c r="K19" s="80">
        <f>VLOOKUP(C19,'Sales Master'!B$3:S$502,18,0)</f>
        <v>2.5</v>
      </c>
      <c r="L19" s="64">
        <f t="shared" ref="L19" si="3">K19*G19</f>
        <v>5</v>
      </c>
      <c r="M19" s="65"/>
      <c r="N19" s="145">
        <f>VLOOKUP(C19,'Sales Master'!$B$3:$DA$2272,104,0)</f>
        <v>1.1000000000000001</v>
      </c>
      <c r="O19" s="145">
        <f t="shared" ref="O19" si="4">K19-N19</f>
        <v>1.4</v>
      </c>
      <c r="P19" s="145">
        <f t="shared" ref="P19" si="5">O19*G19</f>
        <v>2.8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97"/>
      <c r="J20" s="497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97"/>
      <c r="J21" s="497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97"/>
      <c r="J22" s="497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97"/>
      <c r="J23" s="497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97"/>
      <c r="J24" s="497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6"/>
      <c r="I25" s="497"/>
      <c r="J25" s="497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76"/>
      <c r="H26" s="186"/>
      <c r="I26" s="497"/>
      <c r="J26" s="497"/>
      <c r="K26" s="8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76"/>
      <c r="H27" s="186"/>
      <c r="I27" s="497"/>
      <c r="J27" s="497"/>
      <c r="K27" s="8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53"/>
      <c r="G28" s="76"/>
      <c r="H28" s="85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76"/>
      <c r="H29" s="186"/>
      <c r="I29" s="497"/>
      <c r="J29" s="497"/>
      <c r="K29" s="15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6"/>
      <c r="I30" s="497"/>
      <c r="J30" s="497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76"/>
      <c r="H31" s="186"/>
      <c r="I31" s="497"/>
      <c r="J31" s="497"/>
      <c r="K31" s="80"/>
      <c r="L31" s="64"/>
      <c r="M31" s="65"/>
      <c r="N31" s="145"/>
      <c r="O31" s="145"/>
      <c r="P31" s="145"/>
    </row>
    <row r="32" spans="2:16" ht="20.149999999999999" customHeight="1" x14ac:dyDescent="0.45">
      <c r="B32" s="66"/>
      <c r="C32" s="212"/>
      <c r="D32" s="461"/>
      <c r="E32" s="461"/>
      <c r="F32" s="461"/>
      <c r="G32" s="76"/>
      <c r="H32" s="186"/>
      <c r="I32" s="497"/>
      <c r="J32" s="497"/>
      <c r="K32" s="80"/>
      <c r="L32" s="8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90"/>
      <c r="E33" s="490"/>
      <c r="F33" s="490"/>
      <c r="G33" s="33"/>
      <c r="H33" s="57"/>
      <c r="I33" s="474"/>
      <c r="J33" s="474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SUM(L17:L32)</f>
        <v>15</v>
      </c>
      <c r="M35" s="63">
        <f>SUM(P18:P33)</f>
        <v>7.2</v>
      </c>
      <c r="N35" s="133">
        <f>M35/L35</f>
        <v>0.48000000000000004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15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16.350000000000001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8">
    <mergeCell ref="I25:J25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K13:L13"/>
    <mergeCell ref="K15:L15"/>
    <mergeCell ref="K14:L14"/>
    <mergeCell ref="B14:D14"/>
    <mergeCell ref="I21:J21"/>
    <mergeCell ref="D25:F25"/>
    <mergeCell ref="D22:F22"/>
    <mergeCell ref="J39:K39"/>
    <mergeCell ref="D33:F33"/>
    <mergeCell ref="I33:J33"/>
    <mergeCell ref="J35:K35"/>
    <mergeCell ref="J37:K37"/>
    <mergeCell ref="D21:F21"/>
    <mergeCell ref="I20:J20"/>
    <mergeCell ref="D24:F24"/>
    <mergeCell ref="I24:J24"/>
    <mergeCell ref="D23:F23"/>
    <mergeCell ref="I22:J22"/>
    <mergeCell ref="I23:J23"/>
    <mergeCell ref="B13:D13"/>
    <mergeCell ref="D32:F32"/>
    <mergeCell ref="I32:J32"/>
    <mergeCell ref="D27:F27"/>
    <mergeCell ref="I27:J27"/>
    <mergeCell ref="D26:F26"/>
    <mergeCell ref="I26:J26"/>
    <mergeCell ref="D20:F20"/>
    <mergeCell ref="D31:F31"/>
    <mergeCell ref="I31:J31"/>
    <mergeCell ref="D29:F29"/>
    <mergeCell ref="I29:J29"/>
    <mergeCell ref="D19:F19"/>
    <mergeCell ref="I19:J19"/>
    <mergeCell ref="D30:F30"/>
    <mergeCell ref="I30:J30"/>
  </mergeCells>
  <conditionalFormatting sqref="C28">
    <cfRule type="duplicateValues" dxfId="189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topLeftCell="A17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186</v>
      </c>
      <c r="J10" s="24" t="s">
        <v>27</v>
      </c>
      <c r="K10" s="493">
        <v>202207351</v>
      </c>
      <c r="L10" s="494"/>
    </row>
    <row r="11" spans="2:12" ht="20.149999999999999" customHeight="1" x14ac:dyDescent="0.45">
      <c r="B11" s="477" t="s">
        <v>366</v>
      </c>
      <c r="C11" s="478"/>
      <c r="D11" s="479"/>
      <c r="E11" s="25"/>
      <c r="F11" s="480" t="str">
        <f>VLOOKUP(H10,'Delivery Location'!A$4:N$460,2,0)</f>
        <v>Tan Soon Mui Food Industries                       8, Woodlands Terrace. Singapore 738433.</v>
      </c>
      <c r="G11" s="481"/>
      <c r="H11" s="482"/>
      <c r="J11" s="26" t="s">
        <v>9</v>
      </c>
      <c r="K11" s="495">
        <v>44763</v>
      </c>
      <c r="L11" s="496"/>
    </row>
    <row r="12" spans="2:12" ht="20.149999999999999" customHeight="1" x14ac:dyDescent="0.45">
      <c r="B12" s="488" t="s">
        <v>367</v>
      </c>
      <c r="C12" s="449"/>
      <c r="D12" s="489"/>
      <c r="E12" s="25"/>
      <c r="F12" s="483"/>
      <c r="G12" s="484"/>
      <c r="H12" s="485"/>
      <c r="J12" s="26" t="s">
        <v>145</v>
      </c>
      <c r="K12" s="463"/>
      <c r="L12" s="464"/>
    </row>
    <row r="13" spans="2:12" ht="20.149999999999999" customHeight="1" x14ac:dyDescent="0.45">
      <c r="B13" s="488" t="s">
        <v>368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378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379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728</v>
      </c>
      <c r="D18" s="461" t="str">
        <f>VLOOKUP(C18,'Sales Master'!B$3:D$530,2,)</f>
        <v>Strawberry Puree 草莓</v>
      </c>
      <c r="E18" s="461"/>
      <c r="F18" s="461"/>
      <c r="G18" s="17">
        <v>30</v>
      </c>
      <c r="H18" s="56" t="str">
        <f>VLOOKUP(C18,'Sales Master'!$B$3:$F$530,5,0)</f>
        <v>1 KG/ Box盒</v>
      </c>
      <c r="I18" s="491" t="str">
        <f>VLOOKUP(C18,'Sales Master'!$B$3:$E$530,4,0)</f>
        <v>DO!</v>
      </c>
      <c r="J18" s="491"/>
      <c r="K18" s="83">
        <f>VLOOKUP(C18,'Sales Master'!B3:$W$2433,22,0)</f>
        <v>10</v>
      </c>
      <c r="L18" s="64">
        <f>K18*G18</f>
        <v>300</v>
      </c>
      <c r="M18" s="81"/>
      <c r="N18" s="145">
        <f>VLOOKUP(C18,'Sales Master'!$B$3:$DA$2272,104,0)</f>
        <v>4.68</v>
      </c>
      <c r="O18" s="145">
        <f>K18-N18</f>
        <v>5.32</v>
      </c>
      <c r="P18" s="145">
        <f>O18*G18</f>
        <v>159.60000000000002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80"/>
      <c r="L21" s="64"/>
      <c r="M21" s="65"/>
    </row>
    <row r="22" spans="2:16" ht="20.149999999999999" customHeight="1" x14ac:dyDescent="0.45">
      <c r="B22" s="29"/>
      <c r="C22" s="189" t="s">
        <v>1100</v>
      </c>
      <c r="D22" s="18"/>
      <c r="E22" s="18"/>
      <c r="F22" s="18"/>
      <c r="G22" s="18"/>
      <c r="H22" s="56"/>
      <c r="I22" s="491"/>
      <c r="J22" s="491"/>
      <c r="K22" s="80"/>
      <c r="L22" s="64"/>
      <c r="M22" s="65"/>
    </row>
    <row r="23" spans="2:16" ht="20.149999999999999" customHeight="1" x14ac:dyDescent="0.45">
      <c r="B23" s="29"/>
      <c r="C23" s="17" t="s">
        <v>728</v>
      </c>
      <c r="D23" s="461" t="str">
        <f>VLOOKUP(C23,'Sales Master'!B$3:D$530,2,)</f>
        <v>Strawberry Puree 草莓</v>
      </c>
      <c r="E23" s="461"/>
      <c r="F23" s="461"/>
      <c r="G23" s="17">
        <v>1</v>
      </c>
      <c r="H23" s="56" t="str">
        <f>VLOOKUP(C23,'Sales Master'!$B$3:$E$530,4,0)</f>
        <v>DO!</v>
      </c>
      <c r="I23" s="491" t="str">
        <f>VLOOKUP(C23,'Sales Master'!$B$3:F$530,5,0)</f>
        <v>1 KG/ Box盒</v>
      </c>
      <c r="J23" s="491"/>
      <c r="K23" s="80">
        <v>8</v>
      </c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80"/>
      <c r="L25" s="64"/>
    </row>
    <row r="26" spans="2:16" ht="20.149999999999999" customHeight="1" thickBot="1" x14ac:dyDescent="0.5">
      <c r="B26" s="32"/>
      <c r="C26" s="33"/>
      <c r="D26" s="490"/>
      <c r="E26" s="490"/>
      <c r="F26" s="490"/>
      <c r="G26" s="33"/>
      <c r="H26" s="57"/>
      <c r="I26" s="474"/>
      <c r="J26" s="474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SUM(L17:L25)</f>
        <v>300</v>
      </c>
      <c r="M28" s="63">
        <f>SUM(P18:P26)</f>
        <v>159.60000000000002</v>
      </c>
      <c r="N28" s="133">
        <f>M28/L28</f>
        <v>0.53200000000000003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300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27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327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D21:F21"/>
    <mergeCell ref="I21:J21"/>
    <mergeCell ref="I22:J22"/>
    <mergeCell ref="J32:K32"/>
    <mergeCell ref="D25:F25"/>
    <mergeCell ref="I25:J25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142"/>
  <sheetViews>
    <sheetView topLeftCell="B12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187</v>
      </c>
      <c r="J10" s="24" t="s">
        <v>27</v>
      </c>
      <c r="K10" s="493">
        <v>202501132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 Dim Sum                                          9 Tampines Street 32,   Tampines Mart. Singapore 529287.             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2</v>
      </c>
      <c r="H18" s="186" t="str">
        <f>VLOOKUP(C18,'Sales Master'!$B$3:$F$2413,5,0)</f>
        <v>(1L x 12bag)/箱</v>
      </c>
      <c r="I18" s="497" t="str">
        <f>VLOOKUP(C18,'Sales Master'!$B$3:$E$2413,4,0)</f>
        <v>Kara UHT</v>
      </c>
      <c r="J18" s="497"/>
      <c r="K18" s="30">
        <f>VLOOKUP(C18,'Sales Master'!$B$3:$J$530,9,0)</f>
        <v>42</v>
      </c>
      <c r="L18" s="64">
        <f t="shared" ref="L18" si="0">K18*G18</f>
        <v>84</v>
      </c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186"/>
      <c r="I19" s="497"/>
      <c r="J19" s="497"/>
      <c r="K19" s="30"/>
      <c r="L19" s="64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49" t="s">
        <v>2317</v>
      </c>
      <c r="D22" s="403"/>
      <c r="E22" s="403"/>
      <c r="F22" s="403"/>
      <c r="G22" s="76"/>
      <c r="H22" s="186"/>
      <c r="I22" s="497"/>
      <c r="J22" s="497"/>
      <c r="K22" s="19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 t="s">
        <v>990</v>
      </c>
      <c r="D23" s="501" t="str">
        <f>VLOOKUP(C23,'[3]Sales Master'!B$3:D$663,2,0)</f>
        <v>Coconut Milk 椰浆</v>
      </c>
      <c r="E23" s="501"/>
      <c r="F23" s="501"/>
      <c r="G23" s="17">
        <v>1</v>
      </c>
      <c r="H23" s="186" t="str">
        <f>VLOOKUP(C23,'[3]Sales Master'!B$3:F$955,5,0)</f>
        <v>(1L x 12bag)/箱</v>
      </c>
      <c r="I23" s="497" t="str">
        <f>VLOOKUP(C23,'[3]Sales Master'!B$3:E$955,4,0)</f>
        <v>Kara UHT</v>
      </c>
      <c r="J23" s="497"/>
      <c r="K23" s="190">
        <v>48</v>
      </c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30"/>
      <c r="L26" s="64"/>
      <c r="N26" s="145"/>
      <c r="O26" s="145"/>
      <c r="P26" s="145"/>
      <c r="Q26" s="170"/>
    </row>
    <row r="27" spans="2:17" ht="20" customHeight="1" x14ac:dyDescent="0.45">
      <c r="B27" s="29"/>
      <c r="C27" s="212"/>
      <c r="D27" s="461"/>
      <c r="E27" s="461"/>
      <c r="F27" s="461"/>
      <c r="G27" s="17"/>
      <c r="H27" s="186"/>
      <c r="I27" s="497"/>
      <c r="J27" s="497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98"/>
      <c r="E28" s="498"/>
      <c r="F28" s="498"/>
      <c r="G28" s="17"/>
      <c r="H28" s="186"/>
      <c r="I28" s="497"/>
      <c r="J28" s="497"/>
      <c r="K28" s="30"/>
      <c r="L28" s="64"/>
      <c r="N28" s="145"/>
      <c r="O28" s="145"/>
      <c r="P28" s="145"/>
      <c r="Q28" s="170"/>
    </row>
    <row r="29" spans="2:17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SUM(L16:L29)</f>
        <v>84</v>
      </c>
      <c r="M31" s="63">
        <f>SUM(P18:P29)-L31*0.04</f>
        <v>-3.36</v>
      </c>
      <c r="N31" s="133">
        <f>M31/L31</f>
        <v>-0.04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84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7.56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91.56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D24:F24"/>
    <mergeCell ref="I24:J24"/>
    <mergeCell ref="D20:F20"/>
    <mergeCell ref="I20:J20"/>
    <mergeCell ref="I17:J17"/>
    <mergeCell ref="D21:F21"/>
    <mergeCell ref="I21:J21"/>
    <mergeCell ref="D23:F23"/>
    <mergeCell ref="I23:J23"/>
    <mergeCell ref="J35:K35"/>
    <mergeCell ref="D19:F19"/>
    <mergeCell ref="I19:J19"/>
    <mergeCell ref="I22:J22"/>
    <mergeCell ref="D25:F25"/>
    <mergeCell ref="I25:J25"/>
    <mergeCell ref="D28:F28"/>
    <mergeCell ref="I28:J28"/>
    <mergeCell ref="D29:F29"/>
    <mergeCell ref="J31:K31"/>
    <mergeCell ref="J33:K33"/>
    <mergeCell ref="D26:F26"/>
    <mergeCell ref="I26:J26"/>
    <mergeCell ref="D27:F27"/>
    <mergeCell ref="I27:J27"/>
  </mergeCells>
  <conditionalFormatting sqref="C22">
    <cfRule type="duplicateValues" dxfId="188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38"/>
  <sheetViews>
    <sheetView topLeftCell="B12" workbookViewId="0">
      <selection activeCell="D20" sqref="D20:F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6.816406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188</v>
      </c>
      <c r="J10" s="24" t="s">
        <v>27</v>
      </c>
      <c r="K10" s="493">
        <v>202501218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Ronnie Kitchen Pte Ltd                            8A, Admiralty Street Food Exchange      #06-07. Singapore 757437.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58"/>
      <c r="C18" s="212" t="s">
        <v>1032</v>
      </c>
      <c r="D18" s="501" t="str">
        <f>VLOOKUP(C18,'Sales Master'!B$3:D$530,2,)</f>
        <v>Yam Skinless 去皮芋头</v>
      </c>
      <c r="E18" s="501"/>
      <c r="F18" s="501"/>
      <c r="G18" s="76">
        <v>120</v>
      </c>
      <c r="H18" s="186" t="str">
        <f>VLOOKUP(C18,'Sales Master'!$B$3:$F$2413,5,0)</f>
        <v>1 KG</v>
      </c>
      <c r="I18" s="497" t="str">
        <f>VLOOKUP(C18,'Sales Master'!$B$3:$E$2413,4,0)</f>
        <v>Thailand</v>
      </c>
      <c r="J18" s="497"/>
      <c r="K18" s="83">
        <f>VLOOKUP(C18,'Sales Master'!B$3:X$530,23,0)</f>
        <v>7</v>
      </c>
      <c r="L18" s="84">
        <f>K18*G18</f>
        <v>840</v>
      </c>
      <c r="M18" s="65"/>
      <c r="N18" s="145">
        <f>VLOOKUP(C18,'Sales Master'!$B$3:$DA$2272,104,0)</f>
        <v>6.2</v>
      </c>
      <c r="O18" s="145">
        <f>K18-N18</f>
        <v>0.79999999999999982</v>
      </c>
      <c r="P18" s="145">
        <f>O18*G18</f>
        <v>95.999999999999972</v>
      </c>
    </row>
    <row r="19" spans="2:17" ht="20.149999999999999" customHeight="1" x14ac:dyDescent="0.45">
      <c r="B19" s="58"/>
      <c r="C19" s="17"/>
      <c r="D19" s="501"/>
      <c r="E19" s="501"/>
      <c r="F19" s="501"/>
      <c r="G19" s="76"/>
      <c r="H19" s="56"/>
      <c r="I19" s="491"/>
      <c r="J19" s="491"/>
      <c r="K19" s="83"/>
      <c r="L19" s="84"/>
      <c r="M19" s="65"/>
      <c r="N19" s="145"/>
      <c r="O19" s="145"/>
      <c r="P19" s="145"/>
    </row>
    <row r="20" spans="2:17" ht="20.149999999999999" customHeight="1" x14ac:dyDescent="0.45">
      <c r="B20" s="58"/>
      <c r="C20" s="17"/>
      <c r="D20" s="501"/>
      <c r="E20" s="501"/>
      <c r="F20" s="501"/>
      <c r="G20" s="76"/>
      <c r="H20" s="56"/>
      <c r="I20" s="491"/>
      <c r="J20" s="491"/>
      <c r="K20" s="83"/>
      <c r="L20" s="84"/>
      <c r="M20" s="65"/>
      <c r="N20" s="145"/>
      <c r="O20" s="145"/>
      <c r="P20" s="145"/>
    </row>
    <row r="21" spans="2:17" ht="20.149999999999999" customHeight="1" x14ac:dyDescent="0.45">
      <c r="B21" s="58"/>
      <c r="C21" s="17"/>
      <c r="D21" s="501"/>
      <c r="E21" s="501"/>
      <c r="F21" s="501"/>
      <c r="G21" s="76"/>
      <c r="H21" s="56"/>
      <c r="I21" s="491"/>
      <c r="J21" s="491"/>
      <c r="K21" s="83"/>
      <c r="L21" s="84"/>
      <c r="M21" s="65"/>
      <c r="N21" s="145"/>
      <c r="O21" s="145"/>
      <c r="P21" s="145"/>
    </row>
    <row r="22" spans="2:17" ht="20.149999999999999" customHeight="1" x14ac:dyDescent="0.45">
      <c r="B22" s="58"/>
      <c r="C22" s="17"/>
      <c r="D22" s="501"/>
      <c r="E22" s="501"/>
      <c r="F22" s="501"/>
      <c r="G22" s="76"/>
      <c r="H22" s="56"/>
      <c r="I22" s="491"/>
      <c r="J22" s="491"/>
      <c r="K22" s="83"/>
      <c r="L22" s="84"/>
      <c r="M22" s="65"/>
      <c r="N22" s="145"/>
      <c r="O22" s="145"/>
      <c r="P22" s="145"/>
    </row>
    <row r="23" spans="2:17" ht="20.149999999999999" customHeight="1" x14ac:dyDescent="0.45">
      <c r="B23" s="58"/>
      <c r="C23" s="17"/>
      <c r="D23" s="501"/>
      <c r="E23" s="501"/>
      <c r="F23" s="501"/>
      <c r="G23" s="76"/>
      <c r="H23" s="56"/>
      <c r="I23" s="491"/>
      <c r="J23" s="491"/>
      <c r="K23" s="83"/>
      <c r="L23" s="84"/>
      <c r="M23" s="65"/>
      <c r="N23" s="145"/>
      <c r="O23" s="145"/>
      <c r="P23" s="145"/>
    </row>
    <row r="24" spans="2:17" ht="20.149999999999999" customHeight="1" x14ac:dyDescent="0.45">
      <c r="B24" s="58"/>
      <c r="C24" s="17"/>
      <c r="D24" s="501"/>
      <c r="E24" s="501"/>
      <c r="F24" s="501"/>
      <c r="G24" s="76"/>
      <c r="H24" s="56"/>
      <c r="I24" s="491"/>
      <c r="J24" s="491"/>
      <c r="K24" s="83"/>
      <c r="L24" s="84"/>
      <c r="M24" s="65"/>
      <c r="N24" s="145"/>
      <c r="O24" s="145"/>
      <c r="P24" s="145"/>
    </row>
    <row r="25" spans="2:17" ht="20.149999999999999" customHeight="1" x14ac:dyDescent="0.45">
      <c r="B25" s="122"/>
      <c r="C25" s="105"/>
      <c r="D25" s="548"/>
      <c r="E25" s="548"/>
      <c r="F25" s="548"/>
      <c r="G25" s="97"/>
      <c r="H25" s="124"/>
      <c r="I25" s="535"/>
      <c r="J25" s="535"/>
      <c r="K25" s="95"/>
      <c r="L25" s="98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546" t="s">
        <v>13</v>
      </c>
      <c r="K26" s="547"/>
      <c r="L26" s="121">
        <f>SUM(L17:L25)</f>
        <v>840</v>
      </c>
      <c r="M26" s="63">
        <f>SUM(P18:P20)</f>
        <v>95.999999999999972</v>
      </c>
      <c r="N26" s="133">
        <f>M26/L26</f>
        <v>0.11428571428571425</v>
      </c>
      <c r="Q26" s="133"/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57" t="s">
        <v>19</v>
      </c>
      <c r="K28" s="458"/>
      <c r="L28" s="41">
        <f>L26-L27</f>
        <v>840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75.599999999999994</v>
      </c>
    </row>
    <row r="30" spans="2:17" ht="20.149999999999999" customHeight="1" thickBot="1" x14ac:dyDescent="0.5">
      <c r="B30" s="10" t="s">
        <v>700</v>
      </c>
      <c r="C30" s="6"/>
      <c r="D30" s="6"/>
      <c r="E30" s="6"/>
      <c r="F30" s="6"/>
      <c r="G30" s="6"/>
      <c r="H30" s="6"/>
      <c r="I30" s="6"/>
      <c r="J30" s="459" t="s">
        <v>21</v>
      </c>
      <c r="K30" s="460"/>
      <c r="L30" s="43">
        <f>L28+L29</f>
        <v>915.6</v>
      </c>
      <c r="M30" s="63">
        <f>L30-669.6</f>
        <v>246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  <c r="N31" s="173">
        <v>44641</v>
      </c>
      <c r="O31" s="19">
        <v>196.3</v>
      </c>
      <c r="P31" s="19">
        <v>40.590000000000003</v>
      </c>
      <c r="Q31" s="133">
        <f>P31/O31</f>
        <v>0.20677534386143659</v>
      </c>
    </row>
    <row r="32" spans="2:17" ht="20.149999999999999" customHeight="1" x14ac:dyDescent="0.45">
      <c r="B32" s="144" t="s">
        <v>690</v>
      </c>
      <c r="L32" s="37"/>
    </row>
    <row r="33" spans="2:12" ht="20.149999999999999" customHeight="1" x14ac:dyDescent="0.45">
      <c r="B33" s="144"/>
      <c r="L33" s="37"/>
    </row>
    <row r="34" spans="2:12" ht="20.149999999999999" customHeight="1" x14ac:dyDescent="0.45">
      <c r="B34" s="144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4">
    <mergeCell ref="D24:F24"/>
    <mergeCell ref="I24:J24"/>
    <mergeCell ref="J26:K26"/>
    <mergeCell ref="J28:K28"/>
    <mergeCell ref="J30:K30"/>
    <mergeCell ref="D25:F25"/>
    <mergeCell ref="I25:J25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144"/>
  <sheetViews>
    <sheetView topLeftCell="A20" workbookViewId="0">
      <selection activeCell="C27" sqref="C27:K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189</v>
      </c>
      <c r="J10" s="24" t="s">
        <v>27</v>
      </c>
      <c r="K10" s="493">
        <v>202501052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  Pte Ltd - Dim Sum                                                                          467 Bukit Batok West Ave 9 #01-10  Singapore 650467                                                  </v>
      </c>
      <c r="G11" s="481"/>
      <c r="H11" s="482"/>
      <c r="J11" s="26" t="s">
        <v>9</v>
      </c>
      <c r="K11" s="495">
        <v>45660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836</v>
      </c>
      <c r="D18" s="461" t="str">
        <f>VLOOKUP(C18,'Sales Master'!B$3:D$530,2,)</f>
        <v>Red Bean 红豆 (5.5 mm)</v>
      </c>
      <c r="E18" s="461"/>
      <c r="F18" s="461"/>
      <c r="G18" s="17">
        <v>1</v>
      </c>
      <c r="H18" s="186" t="str">
        <f>VLOOKUP(C18,'Sales Master'!$B$3:$F$2413,5,0)</f>
        <v>5 KG</v>
      </c>
      <c r="I18" s="497" t="str">
        <f>VLOOKUP(C18,'Sales Master'!$B$3:$E$2413,4,0)</f>
        <v>-</v>
      </c>
      <c r="J18" s="497"/>
      <c r="K18" s="30">
        <f>VLOOKUP(C18,'Sales Master'!B$3:BE$530,56,0)</f>
        <v>17.5</v>
      </c>
      <c r="L18" s="64">
        <f t="shared" ref="L18:L19" si="0">K18*G18</f>
        <v>17.5</v>
      </c>
    </row>
    <row r="19" spans="2:17" ht="20.149999999999999" customHeight="1" x14ac:dyDescent="0.45">
      <c r="B19" s="29"/>
      <c r="C19" s="212" t="s">
        <v>849</v>
      </c>
      <c r="D19" s="461" t="str">
        <f>VLOOKUP(C19,'Sales Master'!B$3:D$530,2,)</f>
        <v>Green Bean 绿豆</v>
      </c>
      <c r="E19" s="461"/>
      <c r="F19" s="461"/>
      <c r="G19" s="17">
        <v>1</v>
      </c>
      <c r="H19" s="186" t="str">
        <f>VLOOKUP(C19,'Sales Master'!$B$3:$F$2413,5,0)</f>
        <v>5 KG</v>
      </c>
      <c r="I19" s="497" t="str">
        <f>VLOOKUP(C19,'Sales Master'!$B$3:$E$2413,4,0)</f>
        <v>-</v>
      </c>
      <c r="J19" s="497"/>
      <c r="K19" s="30">
        <f>VLOOKUP(C19,'Sales Master'!B$3:BE$530,56,0)</f>
        <v>13</v>
      </c>
      <c r="L19" s="64">
        <f t="shared" si="0"/>
        <v>13</v>
      </c>
    </row>
    <row r="20" spans="2:17" ht="20.149999999999999" customHeight="1" x14ac:dyDescent="0.45">
      <c r="B20" s="29"/>
      <c r="C20" s="212" t="s">
        <v>877</v>
      </c>
      <c r="D20" s="461" t="str">
        <f>VLOOKUP(C20,'Sales Master'!B$3:D$530,2,)</f>
        <v>Small Sago 小丸</v>
      </c>
      <c r="E20" s="461"/>
      <c r="F20" s="461"/>
      <c r="G20" s="17">
        <v>1</v>
      </c>
      <c r="H20" s="186" t="str">
        <f>VLOOKUP(C20,'Sales Master'!$B$3:$F$2413,5,0)</f>
        <v>5 KG</v>
      </c>
      <c r="I20" s="497" t="str">
        <f>VLOOKUP(C20,'Sales Master'!$B$3:$E$2413,4,0)</f>
        <v>-</v>
      </c>
      <c r="J20" s="497"/>
      <c r="K20" s="30">
        <f>VLOOKUP(C20,'Sales Master'!B$3:BE$530,56,0)</f>
        <v>10</v>
      </c>
      <c r="L20" s="64">
        <f>K20*G20</f>
        <v>10</v>
      </c>
      <c r="N20" s="145"/>
      <c r="O20" s="145"/>
      <c r="P20" s="145"/>
      <c r="Q20" s="170"/>
    </row>
    <row r="21" spans="2:17" ht="20.149999999999999" customHeight="1" x14ac:dyDescent="0.45">
      <c r="B21" s="29"/>
      <c r="C21" s="212" t="s">
        <v>961</v>
      </c>
      <c r="D21" s="461" t="str">
        <f>VLOOKUP(C21,'Sales Master'!B$3:D$530,2,)</f>
        <v>Lychee in Syrup 荔枝</v>
      </c>
      <c r="E21" s="461"/>
      <c r="F21" s="461"/>
      <c r="G21" s="17">
        <v>2</v>
      </c>
      <c r="H21" s="186" t="str">
        <f>VLOOKUP(C21,'Sales Master'!$B$3:$F$2413,5,0)</f>
        <v>12 CAN/CARTON</v>
      </c>
      <c r="I21" s="497" t="str">
        <f>VLOOKUP(C21,'Sales Master'!$B$3:$E$2413,4,0)</f>
        <v>Statue</v>
      </c>
      <c r="J21" s="497"/>
      <c r="K21" s="30">
        <f>VLOOKUP(C21,'Sales Master'!B$3:BE$530,56,0)</f>
        <v>22</v>
      </c>
      <c r="L21" s="64">
        <f>K21*G21</f>
        <v>44</v>
      </c>
    </row>
    <row r="22" spans="2:17" ht="20.149999999999999" customHeight="1" x14ac:dyDescent="0.45">
      <c r="B22" s="29"/>
      <c r="C22" s="212" t="s">
        <v>990</v>
      </c>
      <c r="D22" s="461" t="str">
        <f>VLOOKUP(C22,'Sales Master'!B$3:D$530,2,)</f>
        <v>Coconut Milk 椰浆</v>
      </c>
      <c r="E22" s="461"/>
      <c r="F22" s="461"/>
      <c r="G22" s="17">
        <v>5</v>
      </c>
      <c r="H22" s="186" t="str">
        <f>VLOOKUP(C22,'Sales Master'!$B$3:$F$2413,5,0)</f>
        <v>(1L x 12bag)/箱</v>
      </c>
      <c r="I22" s="497" t="str">
        <f>VLOOKUP(C22,'Sales Master'!$B$3:$E$2413,4,0)</f>
        <v>Kara UHT</v>
      </c>
      <c r="J22" s="497"/>
      <c r="K22" s="30">
        <f>VLOOKUP(C22,'Sales Master'!B$3:BE$530,56,0)</f>
        <v>42</v>
      </c>
      <c r="L22" s="64">
        <f t="shared" ref="L22" si="1">K22*G22</f>
        <v>210</v>
      </c>
    </row>
    <row r="23" spans="2:17" ht="20.149999999999999" customHeight="1" x14ac:dyDescent="0.45">
      <c r="B23" s="29"/>
      <c r="C23" s="212" t="s">
        <v>1011</v>
      </c>
      <c r="D23" s="461" t="str">
        <f>VLOOKUP(C23,'Sales Master'!B$3:D$530,2,)</f>
        <v>Brown Sugar 黑糖</v>
      </c>
      <c r="E23" s="461"/>
      <c r="F23" s="461"/>
      <c r="G23" s="17">
        <v>1</v>
      </c>
      <c r="H23" s="186" t="str">
        <f>VLOOKUP(C23,'Sales Master'!$B$3:$F$2413,5,0)</f>
        <v>6 KG</v>
      </c>
      <c r="I23" s="497" t="str">
        <f>VLOOKUP(C23,'Sales Master'!$B$3:$E$2413,4,0)</f>
        <v>Star</v>
      </c>
      <c r="J23" s="497"/>
      <c r="K23" s="30">
        <f>VLOOKUP(C23,'Sales Master'!B$3:BE$530,56,0)</f>
        <v>15</v>
      </c>
      <c r="L23" s="64">
        <f t="shared" ref="L23" si="2">K23*G23</f>
        <v>15</v>
      </c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G24" s="17"/>
      <c r="H24" s="186"/>
      <c r="I24" s="208"/>
      <c r="J24" s="208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G25" s="17"/>
      <c r="H25" s="186"/>
      <c r="I25" s="208"/>
      <c r="J25" s="208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49" t="s">
        <v>2317</v>
      </c>
      <c r="D27" s="403"/>
      <c r="E27" s="403"/>
      <c r="F27" s="403"/>
      <c r="G27" s="76"/>
      <c r="H27" s="186"/>
      <c r="I27" s="497"/>
      <c r="J27" s="497"/>
      <c r="K27" s="19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 t="s">
        <v>990</v>
      </c>
      <c r="D28" s="501" t="str">
        <f>VLOOKUP(C28,'[3]Sales Master'!B$3:D$663,2,0)</f>
        <v>Coconut Milk 椰浆</v>
      </c>
      <c r="E28" s="501"/>
      <c r="F28" s="501"/>
      <c r="G28" s="17">
        <v>1</v>
      </c>
      <c r="H28" s="186" t="str">
        <f>VLOOKUP(C28,'[3]Sales Master'!B$3:F$955,5,0)</f>
        <v>(1L x 12bag)/箱</v>
      </c>
      <c r="I28" s="497" t="str">
        <f>VLOOKUP(C28,'[3]Sales Master'!B$3:E$955,4,0)</f>
        <v>Kara UHT</v>
      </c>
      <c r="J28" s="497"/>
      <c r="K28" s="190">
        <v>48</v>
      </c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D29" s="498"/>
      <c r="E29" s="498"/>
      <c r="F29" s="498"/>
      <c r="G29" s="17"/>
      <c r="H29" s="186"/>
      <c r="I29" s="497"/>
      <c r="J29" s="497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7"/>
      <c r="D30" s="498"/>
      <c r="E30" s="498"/>
      <c r="F30" s="498"/>
      <c r="G30" s="17"/>
      <c r="H30" s="186"/>
      <c r="I30" s="497"/>
      <c r="J30" s="497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90"/>
      <c r="E31" s="490"/>
      <c r="F31" s="490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SUM(L16:L31)</f>
        <v>309.5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309.5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27.855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337.35500000000002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144" spans="105:105" x14ac:dyDescent="0.45">
      <c r="DA144" s="19">
        <f>H144</f>
        <v>0</v>
      </c>
    </row>
  </sheetData>
  <mergeCells count="40">
    <mergeCell ref="J37:K37"/>
    <mergeCell ref="I27:J27"/>
    <mergeCell ref="D28:F28"/>
    <mergeCell ref="I28:J28"/>
    <mergeCell ref="D29:F29"/>
    <mergeCell ref="I29:J29"/>
    <mergeCell ref="D30:F30"/>
    <mergeCell ref="I30:J30"/>
    <mergeCell ref="D31:F31"/>
    <mergeCell ref="J33:K33"/>
    <mergeCell ref="J35:K35"/>
    <mergeCell ref="D26:F26"/>
    <mergeCell ref="I26:J26"/>
    <mergeCell ref="D19:F19"/>
    <mergeCell ref="D22:F22"/>
    <mergeCell ref="I22:J22"/>
    <mergeCell ref="I17:J17"/>
    <mergeCell ref="D20:F20"/>
    <mergeCell ref="I20:J20"/>
    <mergeCell ref="D23:F23"/>
    <mergeCell ref="I23:J23"/>
    <mergeCell ref="D18:F18"/>
    <mergeCell ref="I18:J18"/>
    <mergeCell ref="D17:F17"/>
    <mergeCell ref="D21:F21"/>
    <mergeCell ref="I21:J21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">
    <cfRule type="duplicateValues" dxfId="187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theme="7"/>
    <pageSetUpPr fitToPage="1"/>
  </sheetPr>
  <dimension ref="B1:P1048557"/>
  <sheetViews>
    <sheetView topLeftCell="A29" zoomScaleNormal="100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6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6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6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6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6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6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6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190</v>
      </c>
      <c r="J10" s="24" t="s">
        <v>27</v>
      </c>
      <c r="K10" s="493">
        <v>202501206</v>
      </c>
      <c r="L10" s="494"/>
    </row>
    <row r="11" spans="2:16" ht="20.149999999999999" customHeight="1" x14ac:dyDescent="0.45">
      <c r="B11" s="477" t="s">
        <v>150</v>
      </c>
      <c r="C11" s="478"/>
      <c r="D11" s="479"/>
      <c r="E11" s="25"/>
      <c r="F11" s="480" t="str">
        <f>VLOOKUP(H10,'Delivery Location'!A$4:N$460,2,0)</f>
        <v xml:space="preserve">Zhu Fang Ruo                                                11 Canberra Road #01-05. Singapore 759775.              </v>
      </c>
      <c r="G11" s="481"/>
      <c r="H11" s="482"/>
      <c r="J11" s="26" t="s">
        <v>9</v>
      </c>
      <c r="K11" s="486">
        <v>45666</v>
      </c>
      <c r="L11" s="487"/>
      <c r="N11" s="529" t="s">
        <v>1100</v>
      </c>
      <c r="O11" s="529"/>
      <c r="P11" s="529"/>
    </row>
    <row r="12" spans="2:16" ht="20.149999999999999" customHeight="1" x14ac:dyDescent="0.45">
      <c r="B12" s="488" t="s">
        <v>611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6" ht="20.149999999999999" customHeight="1" x14ac:dyDescent="0.45">
      <c r="B13" s="488" t="s">
        <v>612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6" ht="20.149999999999999" customHeight="1" x14ac:dyDescent="0.45">
      <c r="B14" s="488" t="s">
        <v>373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6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119" t="s">
        <v>544</v>
      </c>
      <c r="L15" s="118"/>
    </row>
    <row r="16" spans="2:16" ht="19" thickBot="1" x14ac:dyDescent="0.5">
      <c r="J16" s="17"/>
      <c r="K16" s="19" t="s">
        <v>460</v>
      </c>
    </row>
    <row r="17" spans="2:16" ht="30" customHeight="1" thickBot="1" x14ac:dyDescent="0.5">
      <c r="B17" s="109" t="s">
        <v>2</v>
      </c>
      <c r="C17" s="110" t="s">
        <v>3</v>
      </c>
      <c r="D17" s="528" t="s">
        <v>4</v>
      </c>
      <c r="E17" s="528"/>
      <c r="F17" s="528"/>
      <c r="G17" s="112" t="s">
        <v>405</v>
      </c>
      <c r="H17" s="110" t="s">
        <v>29</v>
      </c>
      <c r="I17" s="528" t="s">
        <v>53</v>
      </c>
      <c r="J17" s="528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721</v>
      </c>
      <c r="D18" s="445" t="str">
        <f>VLOOKUP(C18,'Sales Master'!B$3:D$530,2,)</f>
        <v xml:space="preserve">Fresh Soursop 红毛榴莲 </v>
      </c>
      <c r="E18" s="445"/>
      <c r="F18" s="445"/>
      <c r="G18" s="76">
        <v>1</v>
      </c>
      <c r="H18" s="183" t="str">
        <f>VLOOKUP(C18,'Sales Master'!$B$3:$F$2413,5,0)</f>
        <v>GW:5 KG/ Pkt包</v>
      </c>
      <c r="I18" s="462" t="str">
        <f>VLOOKUP(C18,'Sales Master'!$B$3:$E$2413,4,0)</f>
        <v>DO!</v>
      </c>
      <c r="J18" s="462"/>
      <c r="K18" s="83">
        <f>VLOOKUP(C18,'Sales Master'!$B$3:$O$2482,14,0)</f>
        <v>34</v>
      </c>
      <c r="L18" s="84">
        <f t="shared" ref="L18" si="0">K18*G18</f>
        <v>34</v>
      </c>
      <c r="M18" s="65"/>
    </row>
    <row r="19" spans="2:16" ht="20" customHeight="1" x14ac:dyDescent="0.45">
      <c r="B19" s="258"/>
      <c r="C19" s="212" t="s">
        <v>726</v>
      </c>
      <c r="D19" s="445" t="str">
        <f>VLOOKUP(C19,'Sales Master'!B$3:D$530,2,)</f>
        <v>Durian Puree 榴莲酱</v>
      </c>
      <c r="E19" s="445"/>
      <c r="F19" s="445"/>
      <c r="G19" s="76">
        <v>1</v>
      </c>
      <c r="H19" s="183" t="str">
        <f>VLOOKUP(C19,'Sales Master'!$B$3:$F$2413,5,0)</f>
        <v>1 KG/ Box盒</v>
      </c>
      <c r="I19" s="462" t="str">
        <f>VLOOKUP(C19,'Sales Master'!$B$3:$E$2413,4,0)</f>
        <v>DO!</v>
      </c>
      <c r="J19" s="462"/>
      <c r="K19" s="83">
        <f>VLOOKUP(C19,'Sales Master'!$B$3:$O$2482,14,0)</f>
        <v>10</v>
      </c>
      <c r="L19" s="84">
        <f t="shared" ref="L19:L24" si="1">K19*G19</f>
        <v>10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727</v>
      </c>
      <c r="D20" s="445" t="str">
        <f>VLOOKUP(C20,'Sales Master'!B$3:D$530,2,)</f>
        <v>Mango Puree 芒果酱</v>
      </c>
      <c r="E20" s="445"/>
      <c r="F20" s="445"/>
      <c r="G20" s="76">
        <v>2</v>
      </c>
      <c r="H20" s="183" t="str">
        <f>VLOOKUP(C20,'Sales Master'!$B$3:$F$2413,5,0)</f>
        <v>1 KG/ Box盒</v>
      </c>
      <c r="I20" s="462" t="str">
        <f>VLOOKUP(C20,'Sales Master'!$B$3:$E$2413,4,0)</f>
        <v>DO!</v>
      </c>
      <c r="J20" s="462"/>
      <c r="K20" s="83">
        <f>VLOOKUP(C20,'Sales Master'!$B$3:$O$2482,14,0)</f>
        <v>9</v>
      </c>
      <c r="L20" s="84">
        <f t="shared" si="1"/>
        <v>18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728</v>
      </c>
      <c r="D21" s="445" t="str">
        <f>VLOOKUP(C21,'Sales Master'!B$3:D$530,2,)</f>
        <v>Strawberry Puree 草莓</v>
      </c>
      <c r="E21" s="445"/>
      <c r="F21" s="445"/>
      <c r="G21" s="76">
        <v>1</v>
      </c>
      <c r="H21" s="183" t="str">
        <f>VLOOKUP(C21,'Sales Master'!$B$3:$F$2413,5,0)</f>
        <v>1 KG/ Box盒</v>
      </c>
      <c r="I21" s="462" t="str">
        <f>VLOOKUP(C21,'Sales Master'!$B$3:$E$2413,4,0)</f>
        <v>DO!</v>
      </c>
      <c r="J21" s="462"/>
      <c r="K21" s="83">
        <f>VLOOKUP(C21,'Sales Master'!$B$3:$O$2482,14,0)</f>
        <v>10</v>
      </c>
      <c r="L21" s="84">
        <f t="shared" si="1"/>
        <v>10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757</v>
      </c>
      <c r="D22" s="445" t="str">
        <f>VLOOKUP(C22,'Sales Master'!B$3:D$530,2,)</f>
        <v>Tadpole JELLY  蝌蚪</v>
      </c>
      <c r="E22" s="445"/>
      <c r="F22" s="445"/>
      <c r="G22" s="76">
        <v>1</v>
      </c>
      <c r="H22" s="183" t="str">
        <f>VLOOKUP(C22,'Sales Master'!$B$3:$F$2413,5,0)</f>
        <v>1 KG/ Bag包</v>
      </c>
      <c r="I22" s="462" t="str">
        <f>VLOOKUP(C22,'Sales Master'!$B$3:$E$2413,4,0)</f>
        <v>FJ</v>
      </c>
      <c r="J22" s="462"/>
      <c r="K22" s="83">
        <f>VLOOKUP(C22,'Sales Master'!$B$3:$O$2482,14,0)</f>
        <v>6.5</v>
      </c>
      <c r="L22" s="84">
        <f t="shared" si="1"/>
        <v>6.5</v>
      </c>
      <c r="M22" s="65"/>
      <c r="N22" s="145"/>
      <c r="O22" s="145"/>
      <c r="P22" s="145"/>
    </row>
    <row r="23" spans="2:16" ht="20" customHeight="1" x14ac:dyDescent="0.45">
      <c r="B23" s="258"/>
      <c r="C23" s="212" t="s">
        <v>828</v>
      </c>
      <c r="D23" s="445" t="str">
        <f>VLOOKUP(C23,'Sales Master'!B$3:D$530,2,)</f>
        <v>Atap Seeds in Syrup 亚嗒子</v>
      </c>
      <c r="E23" s="445"/>
      <c r="F23" s="445"/>
      <c r="G23" s="76">
        <v>2</v>
      </c>
      <c r="H23" s="183" t="str">
        <f>VLOOKUP(C23,'Sales Master'!$B$3:$F$2413,5,0)</f>
        <v>NW(2.1:0.9) 3kg/ Bag包</v>
      </c>
      <c r="I23" s="462" t="str">
        <f>VLOOKUP(C23,'Sales Master'!$B$3:$E$2413,4,0)</f>
        <v>DO!</v>
      </c>
      <c r="J23" s="462"/>
      <c r="K23" s="83">
        <f>VLOOKUP(C23,'Sales Master'!$B$3:$O$2482,14,0)</f>
        <v>13.5</v>
      </c>
      <c r="L23" s="84">
        <f t="shared" si="1"/>
        <v>27</v>
      </c>
      <c r="M23" s="65"/>
      <c r="N23" s="145"/>
      <c r="O23" s="145"/>
      <c r="P23" s="145"/>
    </row>
    <row r="24" spans="2:16" ht="20" customHeight="1" x14ac:dyDescent="0.45">
      <c r="B24" s="258"/>
      <c r="C24" s="212" t="s">
        <v>1269</v>
      </c>
      <c r="D24" s="445" t="str">
        <f>VLOOKUP(C24,'Sales Master'!B$3:D$530,2,)</f>
        <v>Kidney Bean 大红豆 (云南）</v>
      </c>
      <c r="E24" s="445"/>
      <c r="F24" s="445"/>
      <c r="G24" s="76">
        <v>1</v>
      </c>
      <c r="H24" s="183" t="str">
        <f>VLOOKUP(C24,'Sales Master'!$B$3:$F$2413,5,0)</f>
        <v>5 KG</v>
      </c>
      <c r="I24" s="462" t="str">
        <f>VLOOKUP(C24,'Sales Master'!$B$3:$E$2413,4,0)</f>
        <v>-</v>
      </c>
      <c r="J24" s="462"/>
      <c r="K24" s="83">
        <f>VLOOKUP(C24,'Sales Master'!$B$3:$O$2482,14,0)</f>
        <v>20.5</v>
      </c>
      <c r="L24" s="84">
        <f t="shared" si="1"/>
        <v>20.5</v>
      </c>
      <c r="M24" s="65"/>
      <c r="N24" s="145"/>
      <c r="O24" s="145"/>
      <c r="P24" s="145"/>
    </row>
    <row r="25" spans="2:16" ht="20" customHeight="1" x14ac:dyDescent="0.45">
      <c r="B25" s="258"/>
      <c r="C25" s="212" t="s">
        <v>855</v>
      </c>
      <c r="D25" s="445" t="str">
        <f>VLOOKUP(C25,'Sales Master'!B$3:D$530,2,)</f>
        <v>Split Green Mung Bean 豆爽</v>
      </c>
      <c r="E25" s="445"/>
      <c r="F25" s="445"/>
      <c r="G25" s="76">
        <v>1</v>
      </c>
      <c r="H25" s="183" t="str">
        <f>VLOOKUP(C25,'Sales Master'!$B$3:$F$2413,5,0)</f>
        <v>5 KG</v>
      </c>
      <c r="I25" s="462" t="str">
        <f>VLOOKUP(C25,'Sales Master'!$B$3:$E$2413,4,0)</f>
        <v>-</v>
      </c>
      <c r="J25" s="462"/>
      <c r="K25" s="83">
        <f>VLOOKUP(C25,'Sales Master'!$B$3:$O$2482,14,0)</f>
        <v>18</v>
      </c>
      <c r="L25" s="84">
        <f t="shared" ref="L25" si="2">K25*G25</f>
        <v>18</v>
      </c>
      <c r="M25" s="65"/>
    </row>
    <row r="26" spans="2:16" ht="20" customHeight="1" x14ac:dyDescent="0.45">
      <c r="B26" s="258"/>
      <c r="C26" s="212" t="s">
        <v>861</v>
      </c>
      <c r="D26" s="445" t="str">
        <f>VLOOKUP(C26,'Sales Master'!B$3:D$530,2,)</f>
        <v>Black Glutinous Rice 黑糯米</v>
      </c>
      <c r="E26" s="445"/>
      <c r="F26" s="445"/>
      <c r="G26" s="76">
        <v>1</v>
      </c>
      <c r="H26" s="183" t="str">
        <f>VLOOKUP(C26,'Sales Master'!$B$3:$F$2413,5,0)</f>
        <v>5 KGS</v>
      </c>
      <c r="I26" s="462" t="str">
        <f>VLOOKUP(C26,'Sales Master'!$B$3:$E$2413,4,0)</f>
        <v>-</v>
      </c>
      <c r="J26" s="462"/>
      <c r="K26" s="83">
        <f>VLOOKUP(C26,'Sales Master'!$B$3:$O$2482,14,0)</f>
        <v>18</v>
      </c>
      <c r="L26" s="84">
        <f>K26*G26</f>
        <v>18</v>
      </c>
      <c r="M26" s="65"/>
    </row>
    <row r="27" spans="2:16" ht="20" customHeight="1" x14ac:dyDescent="0.45">
      <c r="B27" s="258"/>
      <c r="C27" s="212" t="s">
        <v>868</v>
      </c>
      <c r="D27" s="445" t="str">
        <f>VLOOKUP(C27,'Sales Master'!B$3:D$530,2,)</f>
        <v>White Wheat 大麦</v>
      </c>
      <c r="E27" s="445"/>
      <c r="F27" s="445"/>
      <c r="G27" s="76">
        <v>1</v>
      </c>
      <c r="H27" s="183" t="str">
        <f>VLOOKUP(C27,'Sales Master'!$B$3:$F$2413,5,0)</f>
        <v>10 PKT/ Bag</v>
      </c>
      <c r="I27" s="462" t="str">
        <f>VLOOKUP(C27,'Sales Master'!$B$3:$E$2413,4,0)</f>
        <v>-</v>
      </c>
      <c r="J27" s="462"/>
      <c r="K27" s="83">
        <f>VLOOKUP(C27,'Sales Master'!$B$3:$O$2482,14,0)</f>
        <v>11</v>
      </c>
      <c r="L27" s="84">
        <f>K27*G27</f>
        <v>11</v>
      </c>
      <c r="M27" s="65"/>
    </row>
    <row r="28" spans="2:16" ht="20" customHeight="1" x14ac:dyDescent="0.45">
      <c r="B28" s="258"/>
      <c r="C28" s="212" t="s">
        <v>870</v>
      </c>
      <c r="D28" s="445" t="str">
        <f>VLOOKUP(C28,'Sales Master'!B$3:D$530,2,)</f>
        <v>Pearl Barley 薏米</v>
      </c>
      <c r="E28" s="445"/>
      <c r="F28" s="445"/>
      <c r="G28" s="76">
        <v>1</v>
      </c>
      <c r="H28" s="183" t="str">
        <f>VLOOKUP(C28,'Sales Master'!$B$3:$F$2413,5,0)</f>
        <v>5 KG</v>
      </c>
      <c r="I28" s="462" t="str">
        <f>VLOOKUP(C28,'Sales Master'!$B$3:$E$2413,4,0)</f>
        <v>-</v>
      </c>
      <c r="J28" s="462"/>
      <c r="K28" s="83">
        <f>VLOOKUP(C28,'Sales Master'!$B$3:$O$2482,14,0)</f>
        <v>10</v>
      </c>
      <c r="L28" s="84">
        <f>K28*G28</f>
        <v>10</v>
      </c>
      <c r="M28" s="65"/>
      <c r="N28" s="145"/>
      <c r="O28" s="145"/>
      <c r="P28" s="145"/>
    </row>
    <row r="29" spans="2:16" ht="20" customHeight="1" x14ac:dyDescent="0.45">
      <c r="B29" s="258"/>
      <c r="C29" s="212" t="s">
        <v>877</v>
      </c>
      <c r="D29" s="445" t="str">
        <f>VLOOKUP(C29,'Sales Master'!B$3:D$530,2,)</f>
        <v>Small Sago 小丸</v>
      </c>
      <c r="E29" s="445"/>
      <c r="F29" s="445"/>
      <c r="G29" s="76">
        <v>1</v>
      </c>
      <c r="H29" s="183" t="str">
        <f>VLOOKUP(C29,'Sales Master'!$B$3:$F$2413,5,0)</f>
        <v>5 KG</v>
      </c>
      <c r="I29" s="462" t="str">
        <f>VLOOKUP(C29,'Sales Master'!$B$3:$E$2413,4,0)</f>
        <v>-</v>
      </c>
      <c r="J29" s="462"/>
      <c r="K29" s="83">
        <f>VLOOKUP(C29,'Sales Master'!$B$3:$O$2482,14,0)</f>
        <v>10.5</v>
      </c>
      <c r="L29" s="84">
        <f t="shared" ref="L29" si="3">K29*G29</f>
        <v>10.5</v>
      </c>
      <c r="M29" s="65"/>
      <c r="N29" s="145"/>
      <c r="O29" s="145"/>
      <c r="P29" s="145"/>
    </row>
    <row r="30" spans="2:16" ht="20" customHeight="1" x14ac:dyDescent="0.45">
      <c r="B30" s="258"/>
      <c r="C30" s="212" t="s">
        <v>891</v>
      </c>
      <c r="D30" s="445" t="str">
        <f>VLOOKUP(C30,'Sales Master'!B$3:D$530,2,)</f>
        <v>GingKo Nut 白果粒</v>
      </c>
      <c r="E30" s="445"/>
      <c r="F30" s="445"/>
      <c r="G30" s="76">
        <v>2</v>
      </c>
      <c r="H30" s="183" t="str">
        <f>VLOOKUP(C30,'Sales Master'!$B$3:$F$2413,5,0)</f>
        <v>5 kgs</v>
      </c>
      <c r="I30" s="462" t="str">
        <f>VLOOKUP(C30,'Sales Master'!$B$3:$E$2413,4,0)</f>
        <v>-</v>
      </c>
      <c r="J30" s="462"/>
      <c r="K30" s="83">
        <f>VLOOKUP(C30,'Sales Master'!$B$3:$O$2482,14,0)</f>
        <v>20</v>
      </c>
      <c r="L30" s="84">
        <f t="shared" ref="L30:L32" si="4">K30*G30</f>
        <v>40</v>
      </c>
      <c r="M30" s="65"/>
      <c r="N30" s="145"/>
      <c r="O30" s="145"/>
      <c r="P30" s="145"/>
    </row>
    <row r="31" spans="2:16" ht="20" customHeight="1" x14ac:dyDescent="0.45">
      <c r="B31" s="258"/>
      <c r="C31" s="212" t="s">
        <v>1042</v>
      </c>
      <c r="D31" s="549" t="str">
        <f>VLOOKUP(C31,'Sales Master'!B$3:D$530,2,)</f>
        <v>Food Coloring - Liquid 颜色水</v>
      </c>
      <c r="E31" s="549"/>
      <c r="F31" s="549"/>
      <c r="G31" s="76">
        <v>2</v>
      </c>
      <c r="H31" s="183" t="str">
        <f>VLOOKUP(C31,'Sales Master'!$B$3:$F$2413,5,0)</f>
        <v>500 ML/ Btl支</v>
      </c>
      <c r="I31" s="462" t="str">
        <f>VLOOKUP(C31,'Sales Master'!$B$3:$E$2413,4,0)</f>
        <v>Green/青</v>
      </c>
      <c r="J31" s="462"/>
      <c r="K31" s="83">
        <f>VLOOKUP(C31,'Sales Master'!$B$3:$O$2482,14,0)</f>
        <v>2.5</v>
      </c>
      <c r="L31" s="84">
        <f t="shared" si="4"/>
        <v>5</v>
      </c>
      <c r="M31" s="65"/>
      <c r="N31" s="145"/>
      <c r="O31" s="145"/>
      <c r="P31" s="145"/>
    </row>
    <row r="32" spans="2:16" ht="20" customHeight="1" x14ac:dyDescent="0.45">
      <c r="B32" s="258"/>
      <c r="C32" s="212" t="s">
        <v>1044</v>
      </c>
      <c r="D32" s="549" t="str">
        <f>VLOOKUP(C32,'Sales Master'!B$3:D$530,2,)</f>
        <v>Food Coloring - Liquid 颜色水</v>
      </c>
      <c r="E32" s="549"/>
      <c r="F32" s="549"/>
      <c r="G32" s="76">
        <v>2</v>
      </c>
      <c r="H32" s="183" t="str">
        <f>VLOOKUP(C32,'Sales Master'!$B$3:$F$2413,5,0)</f>
        <v>500 ML/ Btl支</v>
      </c>
      <c r="I32" s="462" t="str">
        <f>VLOOKUP(C32,'Sales Master'!$B$3:$E$2413,4,0)</f>
        <v>Black/黑</v>
      </c>
      <c r="J32" s="462"/>
      <c r="K32" s="83">
        <f>VLOOKUP(C32,'Sales Master'!$B$3:$O$2482,14,0)</f>
        <v>4</v>
      </c>
      <c r="L32" s="84">
        <f t="shared" si="4"/>
        <v>8</v>
      </c>
      <c r="M32" s="65"/>
      <c r="N32" s="145"/>
      <c r="O32" s="145"/>
      <c r="P32" s="145"/>
    </row>
    <row r="33" spans="2:16" ht="20" customHeight="1" x14ac:dyDescent="0.45">
      <c r="B33" s="258"/>
      <c r="C33" s="212"/>
      <c r="D33" s="65"/>
      <c r="E33" s="65"/>
      <c r="F33" s="65"/>
      <c r="G33" s="76"/>
      <c r="H33" s="183"/>
      <c r="I33" s="209"/>
      <c r="J33" s="209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65"/>
      <c r="E34" s="65"/>
      <c r="F34" s="65"/>
      <c r="G34" s="76"/>
      <c r="H34" s="183"/>
      <c r="I34" s="209"/>
      <c r="J34" s="209"/>
      <c r="K34" s="83"/>
      <c r="L34" s="84"/>
      <c r="M34" s="65"/>
      <c r="N34" s="145"/>
      <c r="O34" s="145"/>
      <c r="P34" s="145"/>
    </row>
    <row r="35" spans="2:16" ht="20" customHeight="1" x14ac:dyDescent="0.45">
      <c r="B35" s="258"/>
      <c r="C35" s="529" t="s">
        <v>2221</v>
      </c>
      <c r="D35" s="529"/>
      <c r="E35" s="529"/>
      <c r="F35" s="65"/>
      <c r="G35" s="76"/>
      <c r="H35" s="183"/>
      <c r="I35" s="209"/>
      <c r="J35" s="209"/>
      <c r="K35" s="83"/>
      <c r="L35" s="84"/>
      <c r="M35" s="65"/>
      <c r="N35" s="145"/>
      <c r="O35" s="145"/>
      <c r="P35" s="145"/>
    </row>
    <row r="36" spans="2:16" ht="20" customHeight="1" x14ac:dyDescent="0.45">
      <c r="B36" s="258"/>
      <c r="C36" s="212" t="s">
        <v>727</v>
      </c>
      <c r="D36" s="445" t="str">
        <f>VLOOKUP(C36,'Sales Master'!B$3:D$530,2,)</f>
        <v>Mango Puree 芒果酱</v>
      </c>
      <c r="E36" s="445"/>
      <c r="F36" s="445"/>
      <c r="G36" s="76">
        <v>1</v>
      </c>
      <c r="H36" s="183" t="str">
        <f>VLOOKUP(C36,'Sales Master'!$B$3:$F$2413,5,0)</f>
        <v>1 KG/ Box盒</v>
      </c>
      <c r="I36" s="462" t="str">
        <f>VLOOKUP(C36,'Sales Master'!$B$3:$E$2413,4,0)</f>
        <v>DO!</v>
      </c>
      <c r="J36" s="462"/>
      <c r="K36" s="83">
        <v>9</v>
      </c>
      <c r="L36" s="84"/>
      <c r="M36" s="65"/>
      <c r="N36" s="145"/>
      <c r="O36" s="145"/>
      <c r="P36" s="145"/>
    </row>
    <row r="37" spans="2:16" ht="20" customHeight="1" x14ac:dyDescent="0.45">
      <c r="B37" s="258"/>
      <c r="C37" s="212" t="s">
        <v>726</v>
      </c>
      <c r="D37" s="445" t="str">
        <f>VLOOKUP(C37,'Sales Master'!B$3:D$530,2,)</f>
        <v>Durian Puree 榴莲酱</v>
      </c>
      <c r="E37" s="445"/>
      <c r="F37" s="445"/>
      <c r="G37" s="76">
        <v>1</v>
      </c>
      <c r="H37" s="183" t="str">
        <f>VLOOKUP(C37,'Sales Master'!$B$3:$F$2413,5,0)</f>
        <v>1 KG/ Box盒</v>
      </c>
      <c r="I37" s="462" t="str">
        <f>VLOOKUP(C37,'Sales Master'!$B$3:$E$2413,4,0)</f>
        <v>DO!</v>
      </c>
      <c r="J37" s="462"/>
      <c r="K37" s="83">
        <v>10</v>
      </c>
      <c r="L37" s="84"/>
      <c r="M37" s="65"/>
      <c r="N37" s="145"/>
      <c r="O37" s="145"/>
      <c r="P37" s="145"/>
    </row>
    <row r="38" spans="2:16" ht="20" customHeight="1" x14ac:dyDescent="0.45">
      <c r="B38" s="258"/>
      <c r="C38" s="212" t="s">
        <v>868</v>
      </c>
      <c r="D38" s="445" t="str">
        <f>VLOOKUP(C38,'Sales Master'!B$3:D$530,2,)</f>
        <v>White Wheat 大麦</v>
      </c>
      <c r="E38" s="445"/>
      <c r="F38" s="445"/>
      <c r="G38" s="76">
        <v>1</v>
      </c>
      <c r="H38" s="183" t="str">
        <f>VLOOKUP(C38,'Sales Master'!$B$3:$F$2413,5,0)</f>
        <v>10 PKT/ Bag</v>
      </c>
      <c r="I38" s="462" t="str">
        <f>VLOOKUP(C38,'Sales Master'!$B$3:$E$2413,4,0)</f>
        <v>-</v>
      </c>
      <c r="J38" s="462"/>
      <c r="K38" s="83">
        <v>11</v>
      </c>
      <c r="L38" s="84"/>
      <c r="M38" s="65"/>
      <c r="N38" s="145"/>
      <c r="O38" s="145"/>
      <c r="P38" s="145"/>
    </row>
    <row r="39" spans="2:16" ht="20.149999999999999" customHeight="1" thickBot="1" x14ac:dyDescent="0.5">
      <c r="B39" s="32"/>
      <c r="C39" s="33"/>
      <c r="D39" s="526"/>
      <c r="E39" s="526"/>
      <c r="F39" s="526"/>
      <c r="G39" s="113"/>
      <c r="H39" s="57"/>
      <c r="I39" s="527"/>
      <c r="J39" s="527"/>
      <c r="K39" s="114"/>
      <c r="L39" s="115"/>
    </row>
    <row r="40" spans="2:16" ht="20.149999999999999" customHeight="1" thickBot="1" x14ac:dyDescent="0.5">
      <c r="B40" s="36"/>
      <c r="G40" s="65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55" t="s">
        <v>13</v>
      </c>
      <c r="K41" s="456"/>
      <c r="L41" s="38">
        <f>SUM(L18:L40)</f>
        <v>246.5</v>
      </c>
      <c r="M41" s="63">
        <f>SUM(P18:P40)</f>
        <v>0</v>
      </c>
      <c r="N41" s="133">
        <f>M41/L41</f>
        <v>0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57" t="s">
        <v>19</v>
      </c>
      <c r="K43" s="458"/>
      <c r="L43" s="41">
        <f>L41-L42</f>
        <v>246.5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22.184999999999999</v>
      </c>
    </row>
    <row r="45" spans="2:16" ht="20.149999999999999" customHeight="1" thickBot="1" x14ac:dyDescent="0.5">
      <c r="B45" s="10" t="s">
        <v>700</v>
      </c>
      <c r="C45" s="6"/>
      <c r="D45" s="6"/>
      <c r="E45" s="6"/>
      <c r="F45" s="6"/>
      <c r="G45" s="6"/>
      <c r="H45" s="6"/>
      <c r="I45" s="6"/>
      <c r="J45" s="459" t="s">
        <v>21</v>
      </c>
      <c r="K45" s="460"/>
      <c r="L45" s="43">
        <f>L43+L44</f>
        <v>268.685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144" t="s">
        <v>690</v>
      </c>
      <c r="L47" s="37"/>
    </row>
    <row r="48" spans="2:16" ht="20.149999999999999" customHeight="1" x14ac:dyDescent="0.45">
      <c r="B48" s="144"/>
      <c r="L48" s="37"/>
    </row>
    <row r="49" spans="2:12" ht="20.149999999999999" customHeight="1" x14ac:dyDescent="0.45">
      <c r="B49" s="144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  <row r="1048557" spans="4:6" x14ac:dyDescent="0.45">
      <c r="D1048557" s="445"/>
      <c r="E1048557" s="445"/>
      <c r="F1048557" s="445"/>
    </row>
  </sheetData>
  <mergeCells count="57">
    <mergeCell ref="D38:F38"/>
    <mergeCell ref="I38:J38"/>
    <mergeCell ref="C35:E35"/>
    <mergeCell ref="D36:F36"/>
    <mergeCell ref="I36:J36"/>
    <mergeCell ref="D37:F37"/>
    <mergeCell ref="I37:J37"/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D18:F18"/>
    <mergeCell ref="I18:J18"/>
    <mergeCell ref="D25:F25"/>
    <mergeCell ref="D27:F27"/>
    <mergeCell ref="D31:F31"/>
    <mergeCell ref="D29:F29"/>
    <mergeCell ref="D22:F22"/>
    <mergeCell ref="D28:F28"/>
    <mergeCell ref="D24:F24"/>
    <mergeCell ref="I28:J28"/>
    <mergeCell ref="D26:F26"/>
    <mergeCell ref="D30:F30"/>
    <mergeCell ref="D19:F19"/>
    <mergeCell ref="D20:F20"/>
    <mergeCell ref="D21:F21"/>
    <mergeCell ref="D23:F23"/>
    <mergeCell ref="D1048557:F1048557"/>
    <mergeCell ref="D39:F39"/>
    <mergeCell ref="J45:K45"/>
    <mergeCell ref="J43:K43"/>
    <mergeCell ref="J41:K41"/>
    <mergeCell ref="I39:J39"/>
    <mergeCell ref="N11:P11"/>
    <mergeCell ref="K14:L14"/>
    <mergeCell ref="I29:J29"/>
    <mergeCell ref="I26:J26"/>
    <mergeCell ref="I27:J27"/>
    <mergeCell ref="I25:J25"/>
    <mergeCell ref="I19:J19"/>
    <mergeCell ref="I20:J20"/>
    <mergeCell ref="I21:J21"/>
    <mergeCell ref="I23:J23"/>
    <mergeCell ref="D32:F32"/>
    <mergeCell ref="I30:J30"/>
    <mergeCell ref="I32:J32"/>
    <mergeCell ref="I22:J22"/>
    <mergeCell ref="I31:J31"/>
    <mergeCell ref="I24:J24"/>
  </mergeCells>
  <conditionalFormatting sqref="C18">
    <cfRule type="duplicateValues" dxfId="186" priority="2707"/>
  </conditionalFormatting>
  <conditionalFormatting sqref="C35">
    <cfRule type="duplicateValues" dxfId="185" priority="1"/>
  </conditionalFormatting>
  <conditionalFormatting sqref="C39">
    <cfRule type="duplicateValues" dxfId="184" priority="752"/>
    <cfRule type="duplicateValues" dxfId="183" priority="759"/>
  </conditionalFormatting>
  <conditionalFormatting sqref="N11">
    <cfRule type="duplicateValues" dxfId="182" priority="60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58"/>
  <sheetViews>
    <sheetView topLeftCell="B34" zoomScaleNormal="100" workbookViewId="0">
      <selection activeCell="C43" sqref="C43:K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</v>
      </c>
      <c r="J10" s="24" t="s">
        <v>27</v>
      </c>
      <c r="K10" s="493">
        <v>202501088</v>
      </c>
      <c r="L10" s="494"/>
      <c r="N10" s="19" t="s">
        <v>1052</v>
      </c>
    </row>
    <row r="11" spans="2:14" ht="20.149999999999999" customHeight="1" x14ac:dyDescent="0.45">
      <c r="B11" s="477" t="s">
        <v>415</v>
      </c>
      <c r="C11" s="478"/>
      <c r="D11" s="479"/>
      <c r="E11" s="25"/>
      <c r="F11" s="480" t="str">
        <f>VLOOKUP(H10,'[2]Delivery Location'!A$4:N$423,2,0)</f>
        <v xml:space="preserve">Balestier Market Pte Ltd                      411, Balestier Road.                          Singapore 329930                                      (Dessert Stall) </v>
      </c>
      <c r="G11" s="481"/>
      <c r="H11" s="482"/>
      <c r="J11" s="26" t="s">
        <v>9</v>
      </c>
      <c r="K11" s="495">
        <v>45661</v>
      </c>
      <c r="L11" s="496"/>
    </row>
    <row r="12" spans="2:14" ht="20.149999999999999" customHeight="1" x14ac:dyDescent="0.45">
      <c r="B12" s="488" t="s">
        <v>384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1133</v>
      </c>
      <c r="L12" s="464"/>
    </row>
    <row r="13" spans="2:14" ht="20.149999999999999" customHeight="1" x14ac:dyDescent="0.45">
      <c r="B13" s="488" t="s">
        <v>385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76">
        <v>1</v>
      </c>
      <c r="H18" s="247" t="str">
        <f>VLOOKUP(C18,'Sales Master'!B$3:F$2417,5,0)</f>
        <v>NW(2.2:0.8) 3kg/ Bag包</v>
      </c>
      <c r="I18" s="550" t="str">
        <f>VLOOKUP(C18,'Sales Master'!B$3:E$2417,4,0)</f>
        <v>DO!</v>
      </c>
      <c r="J18" s="550"/>
      <c r="K18" s="80">
        <f>VLOOKUP(C18,'Sales Master'!$B$3:$P$3028,15,0)</f>
        <v>7.5</v>
      </c>
      <c r="L18" s="64">
        <f t="shared" ref="L18" si="0">K18*G18</f>
        <v>7.5</v>
      </c>
      <c r="M18" s="65"/>
      <c r="N18" s="145">
        <f>VLOOKUP(C18,'Sales Master'!$B$3:$DA$2272,104,0)</f>
        <v>2.44</v>
      </c>
      <c r="O18" s="145">
        <f t="shared" ref="O18" si="1">K18-N18</f>
        <v>5.0600000000000005</v>
      </c>
      <c r="P18" s="145">
        <f t="shared" ref="P18" si="2">O18*G18</f>
        <v>5.0600000000000005</v>
      </c>
    </row>
    <row r="19" spans="2:16" ht="20.149999999999999" customHeight="1" x14ac:dyDescent="0.45">
      <c r="B19" s="29"/>
      <c r="C19" s="212" t="s">
        <v>726</v>
      </c>
      <c r="D19" s="498" t="str">
        <f>VLOOKUP(C19,'Sales Master'!B$3:D$530,2,)</f>
        <v>Durian Puree 榴莲酱</v>
      </c>
      <c r="E19" s="498"/>
      <c r="F19" s="498"/>
      <c r="G19" s="76">
        <v>1</v>
      </c>
      <c r="H19" s="247" t="str">
        <f>VLOOKUP(C19,'Sales Master'!B$3:F$2417,5,0)</f>
        <v>1 KG/ Box盒</v>
      </c>
      <c r="I19" s="462" t="str">
        <f>VLOOKUP(C19,'Sales Master'!B$3:E$2417,4,0)</f>
        <v>DO!</v>
      </c>
      <c r="J19" s="462"/>
      <c r="K19" s="80">
        <f>VLOOKUP(C19,'Sales Master'!$B$3:$P$3028,15,0)</f>
        <v>9</v>
      </c>
      <c r="L19" s="64">
        <f>K19*G19</f>
        <v>9</v>
      </c>
      <c r="M19" s="65"/>
      <c r="N19" s="145">
        <f>VLOOKUP(C19,'Sales Master'!$B$3:$DA$2272,104,0)</f>
        <v>4.71</v>
      </c>
      <c r="O19" s="145">
        <f>K19-N19</f>
        <v>4.29</v>
      </c>
      <c r="P19" s="145">
        <f>O19*G19</f>
        <v>4.29</v>
      </c>
    </row>
    <row r="20" spans="2:16" ht="20.149999999999999" customHeight="1" x14ac:dyDescent="0.45">
      <c r="B20" s="29"/>
      <c r="C20" s="212" t="s">
        <v>736</v>
      </c>
      <c r="D20" s="492" t="str">
        <f>VLOOKUP(C20,'Sales Master'!B$3:D$530,2,)</f>
        <v>Bobo ChaCha Cubes 摩摩喳喳</v>
      </c>
      <c r="E20" s="492"/>
      <c r="F20" s="492"/>
      <c r="G20" s="76">
        <v>2</v>
      </c>
      <c r="H20" s="247" t="str">
        <f>VLOOKUP(C20,'Sales Master'!B$3:F$2417,5,0)</f>
        <v>800 GM/ Bag包</v>
      </c>
      <c r="I20" s="462" t="str">
        <f>VLOOKUP(C20,'Sales Master'!B$3:E$2417,4,0)</f>
        <v>DO!</v>
      </c>
      <c r="J20" s="462"/>
      <c r="K20" s="80">
        <f>VLOOKUP(C20,'Sales Master'!$B$3:$P$3028,15,0)</f>
        <v>7</v>
      </c>
      <c r="L20" s="64">
        <f>K20*G20</f>
        <v>14</v>
      </c>
      <c r="M20" s="65"/>
      <c r="N20" s="145">
        <f>VLOOKUP(C20,'Sales Master'!$B$3:$DA$2272,104,0)</f>
        <v>0.89</v>
      </c>
      <c r="O20" s="145">
        <f>K20-N20</f>
        <v>6.11</v>
      </c>
      <c r="P20" s="145">
        <f>O20*G20</f>
        <v>12.22</v>
      </c>
    </row>
    <row r="21" spans="2:16" ht="20.149999999999999" customHeight="1" x14ac:dyDescent="0.45">
      <c r="B21" s="29"/>
      <c r="C21" s="212" t="s">
        <v>757</v>
      </c>
      <c r="D21" s="498" t="str">
        <f>VLOOKUP(C21,'Sales Master'!B$3:D$530,2,)</f>
        <v>Tadpole JELLY  蝌蚪</v>
      </c>
      <c r="E21" s="498"/>
      <c r="F21" s="498"/>
      <c r="G21" s="76">
        <v>1</v>
      </c>
      <c r="H21" s="247" t="str">
        <f>VLOOKUP(C21,'Sales Master'!B$3:F$2417,5,0)</f>
        <v>1 KG/ Bag包</v>
      </c>
      <c r="I21" s="462" t="str">
        <f>VLOOKUP(C21,'Sales Master'!B$3:E$2417,4,0)</f>
        <v>FJ</v>
      </c>
      <c r="J21" s="462"/>
      <c r="K21" s="80">
        <f>VLOOKUP(C21,'Sales Master'!$B$3:$P$3028,15,0)</f>
        <v>6.5</v>
      </c>
      <c r="L21" s="64">
        <f t="shared" ref="L21" si="3">K21*G21</f>
        <v>6.5</v>
      </c>
      <c r="M21" s="65"/>
      <c r="N21" s="145">
        <f>VLOOKUP(C21,'Sales Master'!$B$3:$DA$2272,104,0)</f>
        <v>5.5</v>
      </c>
      <c r="O21" s="145">
        <f t="shared" ref="O21" si="4">K21-N21</f>
        <v>1</v>
      </c>
      <c r="P21" s="145">
        <f t="shared" ref="P21" si="5">O21*G21</f>
        <v>1</v>
      </c>
    </row>
    <row r="22" spans="2:16" ht="20.149999999999999" customHeight="1" x14ac:dyDescent="0.45">
      <c r="B22" s="29"/>
      <c r="C22" s="212" t="s">
        <v>812</v>
      </c>
      <c r="D22" s="461" t="str">
        <f>VLOOKUP(C22,'Sales Master'!B$3:D$530,2,)</f>
        <v>Potato Starch 风车粉</v>
      </c>
      <c r="E22" s="461"/>
      <c r="F22" s="461"/>
      <c r="G22" s="76">
        <v>1</v>
      </c>
      <c r="H22" s="247" t="str">
        <f>VLOOKUP(C22,'Sales Master'!B$3:F$2417,5,0)</f>
        <v>5 KG</v>
      </c>
      <c r="I22" s="462" t="str">
        <f>VLOOKUP(C22,'Sales Master'!B$3:E$2417,4,0)</f>
        <v>Windmill</v>
      </c>
      <c r="J22" s="462"/>
      <c r="K22" s="80">
        <f>VLOOKUP(C22,'Sales Master'!$B$3:$P$3028,15,0)</f>
        <v>18.5</v>
      </c>
      <c r="L22" s="64">
        <f>K22*G22</f>
        <v>18.5</v>
      </c>
      <c r="M22" s="65"/>
      <c r="N22" s="145">
        <f>VLOOKUP(C22,'Sales Master'!$B$3:$DA$2272,104,0)</f>
        <v>11.7</v>
      </c>
      <c r="O22" s="145">
        <f>K22-N22</f>
        <v>6.8000000000000007</v>
      </c>
      <c r="P22" s="145">
        <f>O22*G22</f>
        <v>6.8000000000000007</v>
      </c>
    </row>
    <row r="23" spans="2:16" ht="20.149999999999999" customHeight="1" x14ac:dyDescent="0.45">
      <c r="B23" s="29"/>
      <c r="C23" s="212" t="s">
        <v>831</v>
      </c>
      <c r="D23" s="461" t="str">
        <f>VLOOKUP(C23,'Sales Master'!B$3:D$530,2,)</f>
        <v>Chin Chow  仙草</v>
      </c>
      <c r="E23" s="461"/>
      <c r="F23" s="461"/>
      <c r="G23" s="76">
        <v>1</v>
      </c>
      <c r="H23" s="247" t="str">
        <f>VLOOKUP(C23,'Sales Master'!B$3:F$2417,5,0)</f>
        <v>4 KG/ Pkt包</v>
      </c>
      <c r="I23" s="462" t="str">
        <f>VLOOKUP(C23,'Sales Master'!B$3:E$2417,4,0)</f>
        <v>TSM</v>
      </c>
      <c r="J23" s="462"/>
      <c r="K23" s="80">
        <f>VLOOKUP(C23,'Sales Master'!$B$3:$P$3028,15,0)</f>
        <v>6.5</v>
      </c>
      <c r="L23" s="64">
        <f>K23*G23</f>
        <v>6.5</v>
      </c>
      <c r="M23" s="65"/>
      <c r="N23" s="145">
        <f>VLOOKUP(C23,'Sales Master'!$B$3:$DA$2272,104,0)</f>
        <v>4</v>
      </c>
      <c r="O23" s="145">
        <f>K23-N23</f>
        <v>2.5</v>
      </c>
      <c r="P23" s="145">
        <f>O23*G23</f>
        <v>2.5</v>
      </c>
    </row>
    <row r="24" spans="2:16" ht="20.149999999999999" customHeight="1" x14ac:dyDescent="0.45">
      <c r="B24" s="29"/>
      <c r="C24" s="212" t="s">
        <v>836</v>
      </c>
      <c r="D24" s="461" t="str">
        <f>VLOOKUP(C24,'Sales Master'!B$3:D$530,2,)</f>
        <v>Red Bean 红豆 (5.5 mm)</v>
      </c>
      <c r="E24" s="461"/>
      <c r="F24" s="461"/>
      <c r="G24" s="76">
        <v>1</v>
      </c>
      <c r="H24" s="247" t="str">
        <f>VLOOKUP(C24,'Sales Master'!B$3:F$2417,5,0)</f>
        <v>5 KG</v>
      </c>
      <c r="I24" s="462" t="str">
        <f>VLOOKUP(C24,'Sales Master'!B$3:E$2417,4,0)</f>
        <v>-</v>
      </c>
      <c r="J24" s="462"/>
      <c r="K24" s="80">
        <f>VLOOKUP(C24,'Sales Master'!$B$3:$P$3028,15,0)</f>
        <v>19.5</v>
      </c>
      <c r="L24" s="64">
        <f t="shared" ref="L24" si="6">K24*G24</f>
        <v>19.5</v>
      </c>
      <c r="M24" s="65"/>
      <c r="N24" s="145">
        <f>VLOOKUP(C24,'Sales Master'!$B$3:$DA$2272,104,0)</f>
        <v>12.5</v>
      </c>
      <c r="O24" s="145">
        <f t="shared" ref="O24" si="7">K24-N24</f>
        <v>7</v>
      </c>
      <c r="P24" s="145">
        <f t="shared" ref="P24" si="8">O24*G24</f>
        <v>7</v>
      </c>
    </row>
    <row r="25" spans="2:16" ht="20.149999999999999" customHeight="1" x14ac:dyDescent="0.45">
      <c r="B25" s="29"/>
      <c r="C25" s="212" t="s">
        <v>849</v>
      </c>
      <c r="D25" s="461" t="str">
        <f>VLOOKUP(C25,'Sales Master'!B$3:D$530,2,)</f>
        <v>Green Bean 绿豆</v>
      </c>
      <c r="E25" s="461"/>
      <c r="F25" s="461"/>
      <c r="G25" s="76">
        <v>2</v>
      </c>
      <c r="H25" s="247" t="str">
        <f>VLOOKUP(C25,'Sales Master'!B$3:F$2417,5,0)</f>
        <v>5 KG</v>
      </c>
      <c r="I25" s="462" t="str">
        <f>VLOOKUP(C25,'Sales Master'!B$3:E$2417,4,0)</f>
        <v>-</v>
      </c>
      <c r="J25" s="462"/>
      <c r="K25" s="80">
        <f>VLOOKUP(C25,'Sales Master'!$B$3:$P$3028,15,0)</f>
        <v>14</v>
      </c>
      <c r="L25" s="64">
        <f>K25*G25</f>
        <v>28</v>
      </c>
      <c r="M25" s="65"/>
      <c r="N25" s="145">
        <f>VLOOKUP(C25,'Sales Master'!$B$3:$DA$2272,104,0)</f>
        <v>8.75</v>
      </c>
      <c r="O25" s="145">
        <f>K25-N25</f>
        <v>5.25</v>
      </c>
      <c r="P25" s="145">
        <f>O25*G25</f>
        <v>10.5</v>
      </c>
    </row>
    <row r="26" spans="2:16" ht="20.149999999999999" customHeight="1" x14ac:dyDescent="0.45">
      <c r="B26" s="29"/>
      <c r="C26" s="212" t="s">
        <v>861</v>
      </c>
      <c r="D26" s="461" t="str">
        <f>VLOOKUP(C26,'Sales Master'!B$3:D$530,2,)</f>
        <v>Black Glutinous Rice 黑糯米</v>
      </c>
      <c r="E26" s="461"/>
      <c r="F26" s="461"/>
      <c r="G26" s="76">
        <v>1</v>
      </c>
      <c r="H26" s="247" t="str">
        <f>VLOOKUP(C26,'Sales Master'!B$3:F$2417,5,0)</f>
        <v>5 KGS</v>
      </c>
      <c r="I26" s="462" t="str">
        <f>VLOOKUP(C26,'Sales Master'!B$3:E$2417,4,0)</f>
        <v>-</v>
      </c>
      <c r="J26" s="462"/>
      <c r="K26" s="80">
        <f>VLOOKUP(C26,'Sales Master'!$B$3:$P$3028,15,0)</f>
        <v>18</v>
      </c>
      <c r="L26" s="64">
        <f>K26*G26</f>
        <v>18</v>
      </c>
      <c r="M26" s="65"/>
      <c r="N26" s="145">
        <f>VLOOKUP(C26,'Sales Master'!$B$3:$DA$2272,104,0)</f>
        <v>12</v>
      </c>
      <c r="O26" s="145">
        <f>K26-N26</f>
        <v>6</v>
      </c>
      <c r="P26" s="145">
        <f>O26*G26</f>
        <v>6</v>
      </c>
    </row>
    <row r="27" spans="2:16" ht="20.149999999999999" customHeight="1" x14ac:dyDescent="0.45">
      <c r="B27" s="29"/>
      <c r="C27" s="212" t="s">
        <v>880</v>
      </c>
      <c r="D27" s="461" t="str">
        <f>VLOOKUP(C27,'Sales Master'!B$3:D$530,2,)</f>
        <v>Dried Longan 龙眼干</v>
      </c>
      <c r="E27" s="461"/>
      <c r="F27" s="461"/>
      <c r="G27" s="76">
        <v>1</v>
      </c>
      <c r="H27" s="247" t="str">
        <f>VLOOKUP(C27,'Sales Master'!B$3:F$2417,5,0)</f>
        <v>1 kg</v>
      </c>
      <c r="I27" s="462" t="str">
        <f>VLOOKUP(C27,'Sales Master'!B$3:E$2417,4,0)</f>
        <v>TL</v>
      </c>
      <c r="J27" s="462"/>
      <c r="K27" s="80">
        <f>VLOOKUP(C27,'Sales Master'!$B$3:$P$3028,15,0)</f>
        <v>13</v>
      </c>
      <c r="L27" s="64">
        <f t="shared" ref="L27" si="9">K27*G27</f>
        <v>13</v>
      </c>
      <c r="M27" s="65"/>
      <c r="N27" s="145">
        <f>VLOOKUP(C27,'Sales Master'!$B$3:$DA$2272,104,0)</f>
        <v>8.8000000000000007</v>
      </c>
      <c r="O27" s="145">
        <f t="shared" ref="O27" si="10">K27-N27</f>
        <v>4.1999999999999993</v>
      </c>
      <c r="P27" s="145">
        <f t="shared" ref="P27" si="11">O27*G27</f>
        <v>4.1999999999999993</v>
      </c>
    </row>
    <row r="28" spans="2:16" ht="20.149999999999999" customHeight="1" x14ac:dyDescent="0.45">
      <c r="B28" s="29"/>
      <c r="C28" s="212" t="s">
        <v>900</v>
      </c>
      <c r="D28" s="461" t="str">
        <f>VLOOKUP(C28,'Sales Master'!B$3:D$530,2,)</f>
        <v>Bean Curd Sheet 腐竹</v>
      </c>
      <c r="E28" s="461"/>
      <c r="F28" s="461"/>
      <c r="G28" s="76">
        <v>10</v>
      </c>
      <c r="H28" s="247" t="str">
        <f>VLOOKUP(C28,'Sales Master'!B$3:F$2417,5,0)</f>
        <v xml:space="preserve">150g/pkt </v>
      </c>
      <c r="I28" s="462" t="str">
        <f>VLOOKUP(C28,'Sales Master'!B$3:E$2417,4,0)</f>
        <v>生记</v>
      </c>
      <c r="J28" s="462"/>
      <c r="K28" s="80">
        <f>VLOOKUP(C28,'Sales Master'!$B$3:$P$3028,15,0)</f>
        <v>3.1</v>
      </c>
      <c r="L28" s="64">
        <f>K28*G28</f>
        <v>31</v>
      </c>
      <c r="M28" s="65"/>
      <c r="N28" s="145">
        <f>VLOOKUP(C28,'Sales Master'!$B$3:$DA$2272,104,0)</f>
        <v>2.5</v>
      </c>
      <c r="O28" s="145">
        <f>K28-N28</f>
        <v>0.60000000000000009</v>
      </c>
      <c r="P28" s="145">
        <f>O28*G28</f>
        <v>6.0000000000000009</v>
      </c>
    </row>
    <row r="29" spans="2:16" ht="20.149999999999999" customHeight="1" x14ac:dyDescent="0.45">
      <c r="B29" s="29"/>
      <c r="C29" s="212" t="s">
        <v>903</v>
      </c>
      <c r="D29" s="461" t="str">
        <f>VLOOKUP(C29,'Sales Master'!B$3:D$530,2,)</f>
        <v>Sweeten Melon Strip 冬瓜条</v>
      </c>
      <c r="E29" s="461"/>
      <c r="F29" s="461"/>
      <c r="G29" s="76">
        <v>1</v>
      </c>
      <c r="H29" s="247" t="str">
        <f>VLOOKUP(C29,'Sales Master'!B$3:F$2417,5,0)</f>
        <v>3KGS/PKT</v>
      </c>
      <c r="I29" s="462" t="str">
        <f>VLOOKUP(C29,'Sales Master'!B$3:E$2417,4,0)</f>
        <v>Rabbit Brand</v>
      </c>
      <c r="J29" s="462"/>
      <c r="K29" s="80">
        <f>VLOOKUP(C29,'Sales Master'!$B$3:$P$3028,15,0)</f>
        <v>19</v>
      </c>
      <c r="L29" s="64">
        <f>K29*G29</f>
        <v>19</v>
      </c>
      <c r="M29" s="65"/>
      <c r="N29" s="145">
        <f>VLOOKUP(C29,'Sales Master'!$B$3:$DA$2272,104,0)</f>
        <v>14</v>
      </c>
      <c r="O29" s="145">
        <f>K29-N29</f>
        <v>5</v>
      </c>
      <c r="P29" s="145">
        <f>O29*G29</f>
        <v>5</v>
      </c>
    </row>
    <row r="30" spans="2:16" ht="20.149999999999999" customHeight="1" x14ac:dyDescent="0.45">
      <c r="B30" s="29"/>
      <c r="C30" s="212" t="s">
        <v>1182</v>
      </c>
      <c r="D30" s="461" t="str">
        <f>VLOOKUP(C30,'Sales Master'!B$3:D$530,2,)</f>
        <v>Coarse Salt 粗盐</v>
      </c>
      <c r="E30" s="461"/>
      <c r="F30" s="461"/>
      <c r="G30" s="76">
        <v>2</v>
      </c>
      <c r="H30" s="247" t="str">
        <f>VLOOKUP(C30,'Sales Master'!B$3:F$2417,5,0)</f>
        <v>3 KGS</v>
      </c>
      <c r="I30" s="462" t="str">
        <f>VLOOKUP(C30,'Sales Master'!B$3:E$2417,4,0)</f>
        <v>-</v>
      </c>
      <c r="J30" s="462"/>
      <c r="K30" s="80">
        <f>VLOOKUP(C30,'Sales Master'!$B$3:$P$3028,15,0)</f>
        <v>2.5</v>
      </c>
      <c r="L30" s="64">
        <f>K30*G30</f>
        <v>5</v>
      </c>
      <c r="M30" s="65"/>
      <c r="N30" s="145">
        <f>VLOOKUP(C30,'Sales Master'!$B$3:$DA$2272,104,0)</f>
        <v>1.1000000000000001</v>
      </c>
      <c r="O30" s="145">
        <f>K30-N30</f>
        <v>1.4</v>
      </c>
      <c r="P30" s="145">
        <f>O30*G30</f>
        <v>2.8</v>
      </c>
    </row>
    <row r="31" spans="2:16" ht="20.149999999999999" customHeight="1" x14ac:dyDescent="0.45">
      <c r="B31" s="29"/>
      <c r="C31" s="212" t="s">
        <v>947</v>
      </c>
      <c r="D31" s="461" t="str">
        <f>VLOOKUP(C31,'Sales Master'!B$3:D$530,2,)</f>
        <v>Sea Coconut 海底椰</v>
      </c>
      <c r="E31" s="461"/>
      <c r="F31" s="461"/>
      <c r="G31" s="76">
        <v>1</v>
      </c>
      <c r="H31" s="419" t="str">
        <f>VLOOKUP(C31,'Sales Master'!B$3:F$2417,5,0)</f>
        <v>1 Can X A10</v>
      </c>
      <c r="I31" s="462" t="str">
        <f>VLOOKUP(C31,'Sales Master'!B$3:E$2417,4,0)</f>
        <v>Chefs</v>
      </c>
      <c r="J31" s="462"/>
      <c r="K31" s="80">
        <f>VLOOKUP(C31,'Sales Master'!$B$3:$P$3028,15,0)</f>
        <v>19.5</v>
      </c>
      <c r="L31" s="64">
        <f t="shared" ref="L31" si="12">K31*G31</f>
        <v>19.5</v>
      </c>
      <c r="M31" s="65"/>
      <c r="N31" s="145">
        <f>VLOOKUP(C31,'Sales Master'!$B$3:$DA$2272,104,0)</f>
        <v>16.666666666666668</v>
      </c>
      <c r="O31" s="145">
        <f t="shared" ref="O31" si="13">K31-N31</f>
        <v>2.8333333333333321</v>
      </c>
      <c r="P31" s="145">
        <f t="shared" ref="P31" si="14">O31*G31</f>
        <v>2.8333333333333321</v>
      </c>
    </row>
    <row r="32" spans="2:16" ht="20.149999999999999" customHeight="1" x14ac:dyDescent="0.45">
      <c r="B32" s="29"/>
      <c r="C32" s="212" t="s">
        <v>980</v>
      </c>
      <c r="D32" s="461" t="str">
        <f>VLOOKUP(C32,'Sales Master'!B$3:D$530,2,)</f>
        <v>GingKo Nut 白果罐</v>
      </c>
      <c r="E32" s="461"/>
      <c r="F32" s="461"/>
      <c r="G32" s="76">
        <v>1</v>
      </c>
      <c r="H32" s="247" t="str">
        <f>VLOOKUP(C32,'Sales Master'!B$3:F$2417,5,0)</f>
        <v>397 GM x 24/ Ctn箱</v>
      </c>
      <c r="I32" s="462" t="str">
        <f>VLOOKUP(C32,'Sales Master'!B$3:E$2417,4,0)</f>
        <v>MiLi</v>
      </c>
      <c r="J32" s="462"/>
      <c r="K32" s="80">
        <f>VLOOKUP(C32,'Sales Master'!$B$3:$P$3028,15,0)</f>
        <v>30</v>
      </c>
      <c r="L32" s="64">
        <f>K32*G32</f>
        <v>30</v>
      </c>
      <c r="M32" s="65"/>
      <c r="N32" s="145">
        <f>VLOOKUP(C32,'Sales Master'!$B$3:$DA$2272,104,0)</f>
        <v>21</v>
      </c>
      <c r="O32" s="145">
        <f>K32-N32</f>
        <v>9</v>
      </c>
      <c r="P32" s="145">
        <f>O32*G32</f>
        <v>9</v>
      </c>
    </row>
    <row r="33" spans="2:16" ht="20.149999999999999" customHeight="1" x14ac:dyDescent="0.45">
      <c r="B33" s="29"/>
      <c r="C33" s="212" t="s">
        <v>990</v>
      </c>
      <c r="D33" s="461" t="str">
        <f>VLOOKUP(C33,'Sales Master'!B$3:D$530,2,)</f>
        <v>Coconut Milk 椰浆</v>
      </c>
      <c r="E33" s="461"/>
      <c r="F33" s="461"/>
      <c r="G33" s="76">
        <v>1</v>
      </c>
      <c r="H33" s="247" t="str">
        <f>VLOOKUP(C33,'Sales Master'!B$3:F$2417,5,0)</f>
        <v>(1L x 12bag)/箱</v>
      </c>
      <c r="I33" s="462" t="str">
        <f>VLOOKUP(C33,'Sales Master'!B$3:E$2417,4,0)</f>
        <v>Kara UHT</v>
      </c>
      <c r="J33" s="462"/>
      <c r="K33" s="80">
        <f>VLOOKUP(C33,'Sales Master'!$B$3:$P$3028,15,0)</f>
        <v>42</v>
      </c>
      <c r="L33" s="64">
        <f>K33*G33</f>
        <v>42</v>
      </c>
      <c r="M33" s="65"/>
      <c r="N33" s="145">
        <f>VLOOKUP(C33,'Sales Master'!$B$3:$DA$2272,104,0)</f>
        <v>35.799999999999997</v>
      </c>
      <c r="O33" s="145">
        <f>K33-N33</f>
        <v>6.2000000000000028</v>
      </c>
      <c r="P33" s="145">
        <f>O33*G33</f>
        <v>6.2000000000000028</v>
      </c>
    </row>
    <row r="34" spans="2:16" ht="20.149999999999999" customHeight="1" x14ac:dyDescent="0.45">
      <c r="B34" s="29"/>
      <c r="C34" s="212" t="s">
        <v>1011</v>
      </c>
      <c r="D34" s="461" t="str">
        <f>VLOOKUP(C34,'Sales Master'!B$3:D$530,2,)</f>
        <v>Brown Sugar 黑糖</v>
      </c>
      <c r="E34" s="461"/>
      <c r="F34" s="461"/>
      <c r="G34" s="76">
        <v>1</v>
      </c>
      <c r="H34" s="247" t="str">
        <f>VLOOKUP(C34,'Sales Master'!B$3:F$2417,5,0)</f>
        <v>6 KG</v>
      </c>
      <c r="I34" s="462" t="str">
        <f>VLOOKUP(C34,'Sales Master'!B$3:E$2417,4,0)</f>
        <v>Star</v>
      </c>
      <c r="J34" s="462"/>
      <c r="K34" s="80">
        <f>VLOOKUP(C34,'Sales Master'!$B$3:$P$3028,15,0)</f>
        <v>16.5</v>
      </c>
      <c r="L34" s="64">
        <f>K34*G34</f>
        <v>16.5</v>
      </c>
      <c r="M34" s="65"/>
      <c r="N34" s="145">
        <f>VLOOKUP(C34,'Sales Master'!$B$3:$DA$2272,104,0)</f>
        <v>12.5</v>
      </c>
      <c r="O34" s="145">
        <f>K34-N34</f>
        <v>4</v>
      </c>
      <c r="P34" s="145">
        <f>O34*G34</f>
        <v>4</v>
      </c>
    </row>
    <row r="35" spans="2:16" ht="20.149999999999999" customHeight="1" x14ac:dyDescent="0.45">
      <c r="B35" s="29"/>
      <c r="C35" s="212" t="s">
        <v>1014</v>
      </c>
      <c r="D35" s="461" t="str">
        <f>VLOOKUP(C35,'Sales Master'!B$3:D$530,2,)</f>
        <v>Fine Sugar 白糖</v>
      </c>
      <c r="E35" s="461"/>
      <c r="F35" s="461"/>
      <c r="G35" s="76">
        <v>1</v>
      </c>
      <c r="H35" s="247" t="str">
        <f>VLOOKUP(C35,'Sales Master'!B$3:F$2417,5,0)</f>
        <v>25 KGS</v>
      </c>
      <c r="I35" s="462" t="str">
        <f>VLOOKUP(C35,'Sales Master'!B$3:E$2417,4,0)</f>
        <v>MITR PHOL/ 蜜朋</v>
      </c>
      <c r="J35" s="462"/>
      <c r="K35" s="80">
        <f>VLOOKUP(C35,'Sales Master'!$B$3:$P$3028,15,0)</f>
        <v>31.5</v>
      </c>
      <c r="L35" s="64">
        <f>K35*G35</f>
        <v>31.5</v>
      </c>
      <c r="M35" s="65"/>
      <c r="N35" s="145">
        <f>VLOOKUP(C35,'Sales Master'!$B$3:$DA$2272,104,0)</f>
        <v>24.5</v>
      </c>
      <c r="O35" s="145">
        <f>K35-N35</f>
        <v>7</v>
      </c>
      <c r="P35" s="145">
        <f>O35*G35</f>
        <v>7</v>
      </c>
    </row>
    <row r="36" spans="2:16" ht="20.149999999999999" customHeight="1" x14ac:dyDescent="0.45">
      <c r="B36" s="29"/>
      <c r="C36" s="212" t="s">
        <v>1020</v>
      </c>
      <c r="D36" s="461" t="str">
        <f>VLOOKUP(C36,'Sales Master'!B$3:D$530,2,)</f>
        <v>Coconut Sugar 椰糖</v>
      </c>
      <c r="E36" s="461"/>
      <c r="F36" s="461"/>
      <c r="G36" s="76">
        <v>1</v>
      </c>
      <c r="H36" s="211" t="str">
        <f>VLOOKUP(C36,'Sales Master'!B$3:F$2417,5,0)</f>
        <v>10kgs/ctn</v>
      </c>
      <c r="I36" s="462" t="str">
        <f>VLOOKUP(C36,'Sales Master'!B$3:E$2417,4,0)</f>
        <v>Indonesia</v>
      </c>
      <c r="J36" s="462"/>
      <c r="K36" s="80">
        <f>VLOOKUP(C36,'Sales Master'!$B$3:$P$3028,15,0)</f>
        <v>34</v>
      </c>
      <c r="L36" s="64">
        <f>K36*G36</f>
        <v>34</v>
      </c>
      <c r="M36" s="65"/>
      <c r="N36" s="145">
        <f>VLOOKUP(C36,'Sales Master'!$B$3:$DA$2272,104,0)</f>
        <v>29</v>
      </c>
      <c r="O36" s="145">
        <f>K36-N36</f>
        <v>5</v>
      </c>
      <c r="P36" s="145">
        <f>O36*G36</f>
        <v>5</v>
      </c>
    </row>
    <row r="37" spans="2:16" ht="20.149999999999999" customHeight="1" x14ac:dyDescent="0.45">
      <c r="B37" s="29"/>
      <c r="C37" s="212" t="s">
        <v>1028</v>
      </c>
      <c r="D37" s="461" t="str">
        <f>VLOOKUP(C37,'Sales Master'!B$3:D$530,2,)</f>
        <v>Sweet Potato 番薯</v>
      </c>
      <c r="E37" s="461"/>
      <c r="F37" s="461"/>
      <c r="G37" s="76">
        <v>2</v>
      </c>
      <c r="H37" s="247" t="str">
        <f>VLOOKUP(C37,'Sales Master'!B$3:F$2417,5,0)</f>
        <v>1 KG</v>
      </c>
      <c r="I37" s="462" t="str">
        <f>VLOOKUP(C37,'Sales Master'!B$3:E$2417,4,0)</f>
        <v>-</v>
      </c>
      <c r="J37" s="462"/>
      <c r="K37" s="80">
        <f>VLOOKUP(C37,'Sales Master'!$B$3:$P$3028,15,0)</f>
        <v>2.7</v>
      </c>
      <c r="L37" s="64">
        <f t="shared" ref="L37:L39" si="15">K37*G37</f>
        <v>5.4</v>
      </c>
      <c r="M37" s="65"/>
      <c r="N37" s="145">
        <f>VLOOKUP(C37,'Sales Master'!$B$3:$DA$2272,104,0)</f>
        <v>1.675</v>
      </c>
      <c r="O37" s="145">
        <f t="shared" ref="O37:O39" si="16">K37-N37</f>
        <v>1.0250000000000001</v>
      </c>
      <c r="P37" s="145">
        <f t="shared" ref="P37:P39" si="17">O37*G37</f>
        <v>2.0500000000000003</v>
      </c>
    </row>
    <row r="38" spans="2:16" ht="20.149999999999999" customHeight="1" x14ac:dyDescent="0.45">
      <c r="B38" s="29"/>
      <c r="C38" s="212" t="s">
        <v>1033</v>
      </c>
      <c r="D38" s="461" t="str">
        <f>VLOOKUP(C38,'Sales Master'!B$3:D$530,2,)</f>
        <v>Pandan Leaf 班兰叶</v>
      </c>
      <c r="E38" s="461"/>
      <c r="F38" s="461"/>
      <c r="G38" s="76">
        <v>1</v>
      </c>
      <c r="H38" s="247" t="str">
        <f>VLOOKUP(C38,'Sales Master'!B$3:F$2417,5,0)</f>
        <v>1 KG</v>
      </c>
      <c r="I38" s="462" t="str">
        <f>VLOOKUP(C38,'Sales Master'!B$3:E$2417,4,0)</f>
        <v>-</v>
      </c>
      <c r="J38" s="462"/>
      <c r="K38" s="80">
        <f>VLOOKUP(C38,'Sales Master'!$B$3:$P$3028,15,0)</f>
        <v>1.8</v>
      </c>
      <c r="L38" s="64">
        <f t="shared" si="15"/>
        <v>1.8</v>
      </c>
      <c r="M38" s="65"/>
      <c r="N38" s="145">
        <f>VLOOKUP(C38,'Sales Master'!$B$3:$DA$2272,104,0)</f>
        <v>1.1000000000000001</v>
      </c>
      <c r="O38" s="145">
        <f t="shared" si="16"/>
        <v>0.7</v>
      </c>
      <c r="P38" s="145">
        <f t="shared" si="17"/>
        <v>0.7</v>
      </c>
    </row>
    <row r="39" spans="2:16" ht="20.149999999999999" customHeight="1" x14ac:dyDescent="0.45">
      <c r="B39" s="29"/>
      <c r="C39" s="212" t="s">
        <v>1034</v>
      </c>
      <c r="D39" s="461" t="str">
        <f>VLOOKUP(C39,'Sales Master'!B$3:D$530,2,)</f>
        <v>Lime 酸甘</v>
      </c>
      <c r="E39" s="461"/>
      <c r="F39" s="461"/>
      <c r="G39" s="76">
        <v>1</v>
      </c>
      <c r="H39" s="247" t="str">
        <f>VLOOKUP(C39,'Sales Master'!B$3:F$2417,5,0)</f>
        <v>1 KG</v>
      </c>
      <c r="I39" s="462" t="str">
        <f>VLOOKUP(C39,'Sales Master'!B$3:E$2417,4,0)</f>
        <v>-</v>
      </c>
      <c r="J39" s="462"/>
      <c r="K39" s="80">
        <f>VLOOKUP(C39,'Sales Master'!$B$3:$P$3028,15,0)</f>
        <v>2.8</v>
      </c>
      <c r="L39" s="64">
        <f t="shared" si="15"/>
        <v>2.8</v>
      </c>
      <c r="M39" s="65"/>
      <c r="N39" s="145">
        <f>VLOOKUP(C39,'Sales Master'!$B$3:$DA$2272,104,0)</f>
        <v>1.8</v>
      </c>
      <c r="O39" s="145">
        <f t="shared" si="16"/>
        <v>0.99999999999999978</v>
      </c>
      <c r="P39" s="145">
        <f t="shared" si="17"/>
        <v>0.99999999999999978</v>
      </c>
    </row>
    <row r="40" spans="2:16" ht="20.149999999999999" customHeight="1" x14ac:dyDescent="0.45">
      <c r="B40" s="29"/>
      <c r="C40" s="212" t="s">
        <v>1030</v>
      </c>
      <c r="D40" s="461" t="str">
        <f>VLOOKUP(C40,'Sales Master'!B$3:D$530,2,)</f>
        <v>Yam 芋头</v>
      </c>
      <c r="E40" s="461"/>
      <c r="F40" s="461"/>
      <c r="G40" s="76">
        <v>1.9</v>
      </c>
      <c r="H40" s="247" t="str">
        <f>VLOOKUP(C40,'Sales Master'!B$3:F$2417,5,0)</f>
        <v>1 KG</v>
      </c>
      <c r="I40" s="462" t="str">
        <f>VLOOKUP(C40,'Sales Master'!B$3:E$2417,4,0)</f>
        <v>Thailand</v>
      </c>
      <c r="J40" s="462"/>
      <c r="K40" s="80">
        <f>VLOOKUP(C40,'Sales Master'!$B$3:$P$3028,15,0)</f>
        <v>5.5</v>
      </c>
      <c r="L40" s="64">
        <f t="shared" ref="L40" si="18">K40*G40</f>
        <v>10.45</v>
      </c>
      <c r="M40" s="65"/>
      <c r="N40" s="145">
        <f>VLOOKUP(C40,'Sales Master'!$B$3:$DA$2272,104,0)</f>
        <v>2.6</v>
      </c>
      <c r="O40" s="145">
        <f t="shared" ref="O40" si="19">K40-N40</f>
        <v>2.9</v>
      </c>
      <c r="P40" s="145">
        <f t="shared" ref="P40" si="20">O40*G40</f>
        <v>5.51</v>
      </c>
    </row>
    <row r="41" spans="2:16" ht="20.149999999999999" customHeight="1" x14ac:dyDescent="0.45">
      <c r="B41" s="29"/>
      <c r="C41" s="212"/>
      <c r="G41" s="76"/>
      <c r="H41" s="247"/>
      <c r="I41" s="209"/>
      <c r="J41" s="209"/>
      <c r="K41" s="80"/>
      <c r="L41" s="64"/>
      <c r="M41" s="65"/>
      <c r="N41" s="145"/>
      <c r="O41" s="145"/>
      <c r="P41" s="145"/>
    </row>
    <row r="42" spans="2:16" ht="20.149999999999999" customHeight="1" x14ac:dyDescent="0.45">
      <c r="B42" s="29"/>
      <c r="C42" s="212"/>
      <c r="G42" s="76"/>
      <c r="H42" s="247"/>
      <c r="I42" s="209"/>
      <c r="J42" s="209"/>
      <c r="K42" s="80"/>
      <c r="L42" s="64"/>
      <c r="M42" s="65"/>
      <c r="N42" s="145"/>
      <c r="O42" s="145"/>
      <c r="P42" s="145"/>
    </row>
    <row r="43" spans="2:16" ht="20.149999999999999" customHeight="1" x14ac:dyDescent="0.45">
      <c r="B43" s="29"/>
      <c r="C43" s="149" t="s">
        <v>2317</v>
      </c>
      <c r="D43" s="403"/>
      <c r="E43" s="403"/>
      <c r="F43" s="403"/>
      <c r="G43" s="76"/>
      <c r="H43" s="186"/>
      <c r="I43" s="497"/>
      <c r="J43" s="497"/>
      <c r="K43" s="190"/>
      <c r="L43" s="64"/>
      <c r="M43" s="65"/>
      <c r="N43" s="145"/>
      <c r="O43" s="145"/>
      <c r="P43" s="145"/>
    </row>
    <row r="44" spans="2:16" ht="20.149999999999999" customHeight="1" x14ac:dyDescent="0.45">
      <c r="B44" s="29"/>
      <c r="C44" s="212" t="s">
        <v>990</v>
      </c>
      <c r="D44" s="501" t="str">
        <f>VLOOKUP(C44,'[3]Sales Master'!B$3:D$663,2,0)</f>
        <v>Coconut Milk 椰浆</v>
      </c>
      <c r="E44" s="501"/>
      <c r="F44" s="501"/>
      <c r="G44" s="17">
        <v>1</v>
      </c>
      <c r="H44" s="186" t="str">
        <f>VLOOKUP(C44,'[3]Sales Master'!B$3:F$955,5,0)</f>
        <v>(1L x 12bag)/箱</v>
      </c>
      <c r="I44" s="497" t="str">
        <f>VLOOKUP(C44,'[3]Sales Master'!B$3:E$955,4,0)</f>
        <v>Kara UHT</v>
      </c>
      <c r="J44" s="497"/>
      <c r="K44" s="190">
        <v>48</v>
      </c>
      <c r="L44" s="64"/>
      <c r="M44" s="65"/>
      <c r="N44" s="145"/>
      <c r="O44" s="145"/>
      <c r="P44" s="145"/>
    </row>
    <row r="45" spans="2:16" ht="20.149999999999999" customHeight="1" thickBot="1" x14ac:dyDescent="0.5">
      <c r="B45" s="32"/>
      <c r="C45" s="48"/>
      <c r="D45" s="48"/>
      <c r="E45" s="48"/>
      <c r="F45" s="48"/>
      <c r="G45" s="113"/>
      <c r="H45" s="57"/>
      <c r="I45" s="90"/>
      <c r="J45" s="90"/>
      <c r="K45" s="157"/>
      <c r="L45" s="75"/>
    </row>
    <row r="46" spans="2:16" ht="20.149999999999999" customHeight="1" thickBot="1" x14ac:dyDescent="0.5">
      <c r="B46" s="29"/>
      <c r="C46" s="17"/>
      <c r="G46" s="17"/>
      <c r="H46" s="56"/>
      <c r="I46" s="56"/>
      <c r="J46" s="56"/>
      <c r="K46" s="80"/>
      <c r="L46" s="64"/>
    </row>
    <row r="47" spans="2:16" ht="20.149999999999999" customHeight="1" x14ac:dyDescent="0.45">
      <c r="B47" s="10" t="s">
        <v>16</v>
      </c>
      <c r="C47" s="6"/>
      <c r="D47" s="6"/>
      <c r="E47" s="6"/>
      <c r="F47" s="6"/>
      <c r="G47" s="6"/>
      <c r="H47" s="6"/>
      <c r="I47" s="6"/>
      <c r="J47" s="455" t="s">
        <v>13</v>
      </c>
      <c r="K47" s="456"/>
      <c r="L47" s="38">
        <f>SUM(L18:L46)</f>
        <v>389.45</v>
      </c>
      <c r="M47" s="63">
        <f>SUM(P18:P45)</f>
        <v>116.66333333333334</v>
      </c>
      <c r="N47" s="133">
        <f>M47/L47</f>
        <v>0.29955920742928066</v>
      </c>
    </row>
    <row r="48" spans="2:16" ht="20.149999999999999" customHeight="1" x14ac:dyDescent="0.45">
      <c r="B48" s="10" t="s">
        <v>17</v>
      </c>
      <c r="C48" s="6"/>
      <c r="D48" s="6"/>
      <c r="E48" s="6"/>
      <c r="F48" s="6"/>
      <c r="G48" s="6"/>
      <c r="H48" s="6"/>
      <c r="I48" s="6"/>
      <c r="J48" s="39" t="s">
        <v>20</v>
      </c>
      <c r="K48" s="40"/>
      <c r="L48" s="41">
        <f>L47*K48</f>
        <v>0</v>
      </c>
    </row>
    <row r="49" spans="2:12" ht="20.149999999999999" customHeight="1" x14ac:dyDescent="0.45">
      <c r="B49" s="10" t="s">
        <v>18</v>
      </c>
      <c r="C49" s="6"/>
      <c r="D49" s="6"/>
      <c r="E49" s="6"/>
      <c r="F49" s="6"/>
      <c r="G49" s="6"/>
      <c r="H49" s="6"/>
      <c r="I49" s="6"/>
      <c r="J49" s="457" t="s">
        <v>19</v>
      </c>
      <c r="K49" s="458"/>
      <c r="L49" s="41">
        <f>L47-L48</f>
        <v>389.45</v>
      </c>
    </row>
    <row r="50" spans="2:12" ht="20.149999999999999" customHeight="1" x14ac:dyDescent="0.45">
      <c r="B50" s="10" t="s">
        <v>22</v>
      </c>
      <c r="C50" s="6"/>
      <c r="D50" s="6"/>
      <c r="E50" s="6"/>
      <c r="F50" s="6"/>
      <c r="G50" s="6"/>
      <c r="H50" s="6"/>
      <c r="I50" s="6"/>
      <c r="J50" s="102" t="s">
        <v>15</v>
      </c>
      <c r="K50" s="103">
        <f>'Sales Master'!$B$1</f>
        <v>0.09</v>
      </c>
      <c r="L50" s="42">
        <f>L49*K50</f>
        <v>35.0505</v>
      </c>
    </row>
    <row r="51" spans="2:12" ht="20.149999999999999" customHeight="1" thickBot="1" x14ac:dyDescent="0.5">
      <c r="B51" s="10" t="s">
        <v>23</v>
      </c>
      <c r="C51" s="6"/>
      <c r="D51" s="6"/>
      <c r="E51" s="6"/>
      <c r="F51" s="6"/>
      <c r="G51" s="6"/>
      <c r="H51" s="6"/>
      <c r="I51" s="6"/>
      <c r="J51" s="459" t="s">
        <v>21</v>
      </c>
      <c r="K51" s="460"/>
      <c r="L51" s="43">
        <f>L49+L50</f>
        <v>424.50049999999999</v>
      </c>
    </row>
    <row r="52" spans="2:12" ht="20.149999999999999" customHeight="1" x14ac:dyDescent="0.45">
      <c r="B52" s="10" t="s">
        <v>24</v>
      </c>
      <c r="C52" s="6"/>
      <c r="D52" s="6"/>
      <c r="E52" s="6"/>
      <c r="F52" s="6"/>
      <c r="G52" s="6"/>
      <c r="H52" s="6"/>
      <c r="I52" s="6"/>
      <c r="L52" s="37"/>
    </row>
    <row r="53" spans="2:12" ht="20.149999999999999" customHeight="1" x14ac:dyDescent="0.45">
      <c r="B53" s="36"/>
      <c r="L53" s="37"/>
    </row>
    <row r="54" spans="2:12" ht="20.149999999999999" customHeight="1" x14ac:dyDescent="0.45">
      <c r="B54" s="36"/>
      <c r="L54" s="37"/>
    </row>
    <row r="55" spans="2:12" ht="20.149999999999999" customHeight="1" x14ac:dyDescent="0.45">
      <c r="B55" s="44"/>
      <c r="C55" s="45"/>
      <c r="D55" s="45"/>
      <c r="J55" s="45"/>
      <c r="K55" s="45"/>
      <c r="L55" s="46"/>
    </row>
    <row r="56" spans="2:12" ht="20.149999999999999" customHeight="1" x14ac:dyDescent="0.45">
      <c r="B56" s="36" t="s">
        <v>25</v>
      </c>
      <c r="J56" s="19" t="s">
        <v>26</v>
      </c>
      <c r="L56" s="37"/>
    </row>
    <row r="57" spans="2:12" ht="10" customHeight="1" thickBot="1" x14ac:dyDescent="0.5"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9"/>
    </row>
    <row r="58" spans="2:12" ht="20.5" x14ac:dyDescent="0.45">
      <c r="F58" s="202"/>
    </row>
  </sheetData>
  <mergeCells count="66">
    <mergeCell ref="I43:J43"/>
    <mergeCell ref="D44:F44"/>
    <mergeCell ref="I44:J44"/>
    <mergeCell ref="D20:F20"/>
    <mergeCell ref="I20:J20"/>
    <mergeCell ref="D40:F40"/>
    <mergeCell ref="I40:J40"/>
    <mergeCell ref="I17:J17"/>
    <mergeCell ref="I18:J18"/>
    <mergeCell ref="I19:J19"/>
    <mergeCell ref="I39:J39"/>
    <mergeCell ref="D18:F18"/>
    <mergeCell ref="D17:F17"/>
    <mergeCell ref="D19:F19"/>
    <mergeCell ref="D39:F39"/>
    <mergeCell ref="D31:F31"/>
    <mergeCell ref="D24:F24"/>
    <mergeCell ref="D32:F32"/>
    <mergeCell ref="D29:F29"/>
    <mergeCell ref="I21:J21"/>
    <mergeCell ref="I29:J29"/>
    <mergeCell ref="D36:F36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2:F22"/>
    <mergeCell ref="I28:J28"/>
    <mergeCell ref="I22:J22"/>
    <mergeCell ref="I25:J25"/>
    <mergeCell ref="I27:J27"/>
    <mergeCell ref="I23:J23"/>
    <mergeCell ref="I24:J24"/>
    <mergeCell ref="D23:F23"/>
    <mergeCell ref="D26:F26"/>
    <mergeCell ref="I35:J35"/>
    <mergeCell ref="D27:F27"/>
    <mergeCell ref="I26:J26"/>
    <mergeCell ref="D25:F25"/>
    <mergeCell ref="D28:F28"/>
    <mergeCell ref="I31:J31"/>
    <mergeCell ref="J51:K51"/>
    <mergeCell ref="J47:K47"/>
    <mergeCell ref="J49:K49"/>
    <mergeCell ref="D33:F33"/>
    <mergeCell ref="D30:F30"/>
    <mergeCell ref="I33:J33"/>
    <mergeCell ref="I30:J30"/>
    <mergeCell ref="I36:J36"/>
    <mergeCell ref="I32:J32"/>
    <mergeCell ref="D38:F38"/>
    <mergeCell ref="I38:J38"/>
    <mergeCell ref="I34:J34"/>
    <mergeCell ref="D34:F34"/>
    <mergeCell ref="D37:F37"/>
    <mergeCell ref="I37:J37"/>
    <mergeCell ref="D35:F35"/>
  </mergeCells>
  <conditionalFormatting sqref="C40:C42 C26 C21 C31">
    <cfRule type="duplicateValues" dxfId="181" priority="2725"/>
  </conditionalFormatting>
  <conditionalFormatting sqref="C43">
    <cfRule type="duplicateValues" dxfId="180" priority="1"/>
  </conditionalFormatting>
  <pageMargins left="0.74803149606299213" right="0" top="0.23622047244094491" bottom="0.31496062992125984" header="0" footer="0"/>
  <pageSetup paperSize="9"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52"/>
  <sheetViews>
    <sheetView topLeftCell="A26" workbookViewId="0">
      <selection activeCell="D35" sqref="D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f>'#01'!M1</f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79</v>
      </c>
      <c r="J10" s="24" t="s">
        <v>27</v>
      </c>
      <c r="K10" s="493">
        <v>202501125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Rasapura Masters                         2, Bayfront Avenue #B2-49A/50A Singapore 018972                              (Dessert)</v>
      </c>
      <c r="G11" s="481"/>
      <c r="H11" s="482"/>
      <c r="J11" s="26" t="s">
        <v>9</v>
      </c>
      <c r="K11" s="495">
        <v>45663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2284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3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726</v>
      </c>
      <c r="D18" s="461" t="str">
        <f>VLOOKUP(C18,'Sales Master'!B$3:D$530,2,)</f>
        <v>Durian Puree 榴莲酱</v>
      </c>
      <c r="E18" s="461"/>
      <c r="F18" s="461"/>
      <c r="G18" s="17">
        <v>5</v>
      </c>
      <c r="H18" s="186" t="str">
        <f>VLOOKUP(C18,'Sales Master'!$B$3:$F$2413,5,0)</f>
        <v>1 KG/ Box盒</v>
      </c>
      <c r="I18" s="497" t="str">
        <f>VLOOKUP(C18,'Sales Master'!$B$3:$E$2413,4,0)</f>
        <v>DO!</v>
      </c>
      <c r="J18" s="497"/>
      <c r="K18" s="30">
        <f>VLOOKUP(C18,'Sales Master'!$B$3:$J$530,9,0)</f>
        <v>7</v>
      </c>
      <c r="L18" s="64">
        <f t="shared" ref="L18" si="0">K18*G18</f>
        <v>35</v>
      </c>
      <c r="N18" s="145">
        <f>VLOOKUP(C18,'Sales Master'!$B$3:$DA$2272,104,0)</f>
        <v>4.71</v>
      </c>
      <c r="O18" s="145">
        <f t="shared" ref="O18" si="1">K18-N18</f>
        <v>2.29</v>
      </c>
      <c r="P18" s="145">
        <f t="shared" ref="P18" si="2">O18*G18</f>
        <v>11.45</v>
      </c>
      <c r="Q18" s="170"/>
    </row>
    <row r="19" spans="2:17" ht="20.149999999999999" customHeight="1" x14ac:dyDescent="0.45">
      <c r="B19" s="29"/>
      <c r="C19" s="212" t="s">
        <v>727</v>
      </c>
      <c r="D19" s="461" t="str">
        <f>VLOOKUP(C19,'Sales Master'!B$3:D$530,2,)</f>
        <v>Mango Puree 芒果酱</v>
      </c>
      <c r="E19" s="461"/>
      <c r="F19" s="461"/>
      <c r="G19" s="17">
        <v>5</v>
      </c>
      <c r="H19" s="186" t="str">
        <f>VLOOKUP(C19,'Sales Master'!$B$3:$F$2413,5,0)</f>
        <v>1 KG/ Box盒</v>
      </c>
      <c r="I19" s="497" t="str">
        <f>VLOOKUP(C19,'Sales Master'!$B$3:$E$2413,4,0)</f>
        <v>DO!</v>
      </c>
      <c r="J19" s="497"/>
      <c r="K19" s="30">
        <f>VLOOKUP(C19,'Sales Master'!$B$3:$J$530,9,0)</f>
        <v>7</v>
      </c>
      <c r="L19" s="64">
        <f t="shared" ref="L19" si="3">K19*G19</f>
        <v>35</v>
      </c>
      <c r="N19" s="145">
        <f>VLOOKUP(C19,'Sales Master'!$B$3:$DA$2272,104,0)</f>
        <v>2.15</v>
      </c>
      <c r="O19" s="145">
        <f t="shared" ref="O19" si="4">K19-N19</f>
        <v>4.8499999999999996</v>
      </c>
      <c r="P19" s="145">
        <f t="shared" ref="P19" si="5">O19*G19</f>
        <v>24.25</v>
      </c>
      <c r="Q19" s="170"/>
    </row>
    <row r="20" spans="2:17" ht="20.149999999999999" customHeight="1" x14ac:dyDescent="0.45">
      <c r="B20" s="29"/>
      <c r="C20" s="212" t="s">
        <v>736</v>
      </c>
      <c r="D20" s="492" t="str">
        <f>VLOOKUP(C20,'Sales Master'!B$3:D$530,2,)</f>
        <v>Bobo ChaCha Cubes 摩摩喳喳</v>
      </c>
      <c r="E20" s="492"/>
      <c r="F20" s="492"/>
      <c r="G20" s="17">
        <v>10</v>
      </c>
      <c r="H20" s="186" t="str">
        <f>VLOOKUP(C20,'Sales Master'!$B$3:$F$2413,5,0)</f>
        <v>800 GM/ Bag包</v>
      </c>
      <c r="I20" s="497" t="str">
        <f>VLOOKUP(C20,'Sales Master'!$B$3:$E$2413,4,0)</f>
        <v>DO!</v>
      </c>
      <c r="J20" s="497"/>
      <c r="K20" s="30">
        <f>VLOOKUP(C20,'Sales Master'!$B$3:$J$530,9,0)</f>
        <v>6</v>
      </c>
      <c r="L20" s="64">
        <f t="shared" ref="L20:L32" si="6">K20*G20</f>
        <v>60</v>
      </c>
      <c r="N20" s="145">
        <f>VLOOKUP(C20,'Sales Master'!$B$3:$DA$2272,104,0)</f>
        <v>0.89</v>
      </c>
      <c r="O20" s="145">
        <f t="shared" ref="O20:O32" si="7">K20-N20</f>
        <v>5.1100000000000003</v>
      </c>
      <c r="P20" s="145">
        <f t="shared" ref="P20:P32" si="8">O20*G20</f>
        <v>51.1</v>
      </c>
      <c r="Q20" s="170"/>
    </row>
    <row r="21" spans="2:17" ht="20.149999999999999" customHeight="1" x14ac:dyDescent="0.45">
      <c r="B21" s="29"/>
      <c r="C21" s="212" t="s">
        <v>757</v>
      </c>
      <c r="D21" s="461" t="str">
        <f>VLOOKUP(C21,'Sales Master'!B$3:D$530,2,)</f>
        <v>Tadpole JELLY  蝌蚪</v>
      </c>
      <c r="E21" s="461"/>
      <c r="F21" s="461"/>
      <c r="G21" s="17">
        <v>10</v>
      </c>
      <c r="H21" s="186" t="str">
        <f>VLOOKUP(C21,'Sales Master'!$B$3:$F$2413,5,0)</f>
        <v>1 KG/ Bag包</v>
      </c>
      <c r="I21" s="497" t="str">
        <f>VLOOKUP(C21,'Sales Master'!$B$3:$E$2413,4,0)</f>
        <v>FJ</v>
      </c>
      <c r="J21" s="497"/>
      <c r="K21" s="30">
        <f>VLOOKUP(C21,'Sales Master'!$B$3:$J$530,9,0)</f>
        <v>6</v>
      </c>
      <c r="L21" s="64">
        <f t="shared" si="6"/>
        <v>60</v>
      </c>
      <c r="N21" s="145">
        <f>VLOOKUP(C21,'Sales Master'!$B$3:$DA$2272,104,0)</f>
        <v>5.5</v>
      </c>
      <c r="O21" s="145">
        <f t="shared" si="7"/>
        <v>0.5</v>
      </c>
      <c r="P21" s="145">
        <f t="shared" si="8"/>
        <v>5</v>
      </c>
      <c r="Q21" s="170"/>
    </row>
    <row r="22" spans="2:17" ht="20.149999999999999" customHeight="1" x14ac:dyDescent="0.45">
      <c r="B22" s="29"/>
      <c r="C22" s="212" t="s">
        <v>815</v>
      </c>
      <c r="D22" s="461" t="str">
        <f>VLOOKUP(C22,'Sales Master'!B$3:D$530,2,)</f>
        <v>Potato Starch 风车粉</v>
      </c>
      <c r="E22" s="461"/>
      <c r="F22" s="461"/>
      <c r="G22" s="17">
        <v>1</v>
      </c>
      <c r="H22" s="186" t="str">
        <f>VLOOKUP(C22,'Sales Master'!$B$3:$F$2413,5,0)</f>
        <v>5 KG</v>
      </c>
      <c r="I22" s="497" t="str">
        <f>VLOOKUP(C22,'Sales Master'!$B$3:$E$2413,4,0)</f>
        <v>RE-PACK</v>
      </c>
      <c r="J22" s="497"/>
      <c r="K22" s="30">
        <f>VLOOKUP(C22,'Sales Master'!$B$3:$J$530,9,0)</f>
        <v>13</v>
      </c>
      <c r="L22" s="64">
        <f t="shared" si="6"/>
        <v>13</v>
      </c>
      <c r="N22" s="145">
        <f>VLOOKUP(C22,'Sales Master'!$B$3:$DA$2272,104,0)</f>
        <v>8</v>
      </c>
      <c r="O22" s="145">
        <f t="shared" si="7"/>
        <v>5</v>
      </c>
      <c r="P22" s="145">
        <f t="shared" si="8"/>
        <v>5</v>
      </c>
      <c r="Q22" s="170"/>
    </row>
    <row r="23" spans="2:17" ht="20.149999999999999" customHeight="1" x14ac:dyDescent="0.45">
      <c r="B23" s="29"/>
      <c r="C23" s="212" t="s">
        <v>829</v>
      </c>
      <c r="D23" s="461" t="str">
        <f>VLOOKUP(C23,'Sales Master'!B$3:D$530,2,)</f>
        <v>Atap Seeds in Syrup 亚嗒子</v>
      </c>
      <c r="E23" s="461"/>
      <c r="F23" s="461"/>
      <c r="G23" s="17">
        <v>5</v>
      </c>
      <c r="H23" s="186" t="str">
        <f>VLOOKUP(C23,'Sales Master'!$B$3:$F$2413,5,0)</f>
        <v>NW(1.6:0.6) 2.2kg/ Bag包</v>
      </c>
      <c r="I23" s="497" t="str">
        <f>VLOOKUP(C23,'Sales Master'!$B$3:$E$2413,4,0)</f>
        <v>DO!</v>
      </c>
      <c r="J23" s="497"/>
      <c r="K23" s="30">
        <f>VLOOKUP(C23,'Sales Master'!$B$3:$J$530,9,0)</f>
        <v>9.5</v>
      </c>
      <c r="L23" s="64">
        <f t="shared" si="6"/>
        <v>47.5</v>
      </c>
      <c r="N23" s="145">
        <f>VLOOKUP(C23,'Sales Master'!$B$3:$DA$2272,104,0)</f>
        <v>7.3</v>
      </c>
      <c r="O23" s="145">
        <f t="shared" si="7"/>
        <v>2.2000000000000002</v>
      </c>
      <c r="P23" s="145">
        <f t="shared" si="8"/>
        <v>11</v>
      </c>
      <c r="Q23" s="170"/>
    </row>
    <row r="24" spans="2:17" ht="20.149999999999999" customHeight="1" x14ac:dyDescent="0.45">
      <c r="B24" s="29"/>
      <c r="C24" s="212" t="s">
        <v>841</v>
      </c>
      <c r="D24" s="461" t="str">
        <f>VLOOKUP(C24,'Sales Master'!B$3:D$530,2,)</f>
        <v>Small Red Bean 小红豆</v>
      </c>
      <c r="E24" s="461"/>
      <c r="F24" s="461"/>
      <c r="G24" s="17">
        <v>5</v>
      </c>
      <c r="H24" s="186" t="str">
        <f>VLOOKUP(C24,'Sales Master'!$B$3:$F$2413,5,0)</f>
        <v>5 KG</v>
      </c>
      <c r="I24" s="497" t="str">
        <f>VLOOKUP(C24,'Sales Master'!$B$3:$E$2413,4,0)</f>
        <v>-</v>
      </c>
      <c r="J24" s="497"/>
      <c r="K24" s="30">
        <f>VLOOKUP(C24,'Sales Master'!$B$3:$J$530,9,0)</f>
        <v>17.5</v>
      </c>
      <c r="L24" s="64">
        <f t="shared" si="6"/>
        <v>87.5</v>
      </c>
      <c r="N24" s="145">
        <f>VLOOKUP(C24,'Sales Master'!$B$3:$DA$2272,104,0)</f>
        <v>12.75</v>
      </c>
      <c r="O24" s="145">
        <f t="shared" si="7"/>
        <v>4.75</v>
      </c>
      <c r="P24" s="145">
        <f t="shared" si="8"/>
        <v>23.75</v>
      </c>
      <c r="Q24" s="170"/>
    </row>
    <row r="25" spans="2:17" ht="20.149999999999999" customHeight="1" x14ac:dyDescent="0.45">
      <c r="B25" s="29"/>
      <c r="C25" s="212" t="s">
        <v>849</v>
      </c>
      <c r="D25" s="461" t="str">
        <f>VLOOKUP(C25,'Sales Master'!B$3:D$530,2,)</f>
        <v>Green Bean 绿豆</v>
      </c>
      <c r="E25" s="461"/>
      <c r="F25" s="461"/>
      <c r="G25" s="17">
        <v>3</v>
      </c>
      <c r="H25" s="186" t="str">
        <f>VLOOKUP(C25,'Sales Master'!$B$3:$F$2413,5,0)</f>
        <v>5 KG</v>
      </c>
      <c r="I25" s="497" t="str">
        <f>VLOOKUP(C25,'Sales Master'!$B$3:$E$2413,4,0)</f>
        <v>-</v>
      </c>
      <c r="J25" s="497"/>
      <c r="K25" s="30">
        <f>VLOOKUP(C25,'Sales Master'!$B$3:$J$530,9,0)</f>
        <v>13</v>
      </c>
      <c r="L25" s="64">
        <f t="shared" si="6"/>
        <v>39</v>
      </c>
      <c r="N25" s="145">
        <f>VLOOKUP(C25,'Sales Master'!$B$3:$DA$2272,104,0)</f>
        <v>8.75</v>
      </c>
      <c r="O25" s="145">
        <f t="shared" si="7"/>
        <v>4.25</v>
      </c>
      <c r="P25" s="145">
        <f t="shared" si="8"/>
        <v>12.75</v>
      </c>
      <c r="Q25" s="170"/>
    </row>
    <row r="26" spans="2:17" ht="20.149999999999999" customHeight="1" x14ac:dyDescent="0.45">
      <c r="B26" s="29"/>
      <c r="C26" s="212" t="s">
        <v>861</v>
      </c>
      <c r="D26" s="461" t="str">
        <f>VLOOKUP(C26,'Sales Master'!B$3:D$530,2,)</f>
        <v>Black Glutinous Rice 黑糯米</v>
      </c>
      <c r="E26" s="461"/>
      <c r="F26" s="461"/>
      <c r="G26" s="17">
        <v>5</v>
      </c>
      <c r="H26" s="186" t="str">
        <f>VLOOKUP(C26,'Sales Master'!$B$3:$F$2413,5,0)</f>
        <v>5 KGS</v>
      </c>
      <c r="I26" s="497" t="str">
        <f>VLOOKUP(C26,'Sales Master'!$B$3:$E$2413,4,0)</f>
        <v>-</v>
      </c>
      <c r="J26" s="497"/>
      <c r="K26" s="30">
        <f>VLOOKUP(C26,'Sales Master'!$B$3:$J$530,9,0)</f>
        <v>18</v>
      </c>
      <c r="L26" s="64">
        <f t="shared" si="6"/>
        <v>90</v>
      </c>
      <c r="N26" s="145">
        <f>VLOOKUP(C26,'Sales Master'!$B$3:$DA$2272,104,0)</f>
        <v>12</v>
      </c>
      <c r="O26" s="145">
        <f t="shared" si="7"/>
        <v>6</v>
      </c>
      <c r="P26" s="145">
        <f t="shared" si="8"/>
        <v>30</v>
      </c>
      <c r="Q26" s="170"/>
    </row>
    <row r="27" spans="2:17" ht="20.149999999999999" customHeight="1" x14ac:dyDescent="0.45">
      <c r="B27" s="29"/>
      <c r="C27" s="212" t="s">
        <v>870</v>
      </c>
      <c r="D27" s="461" t="str">
        <f>VLOOKUP(C27,'Sales Master'!B$3:D$530,2,)</f>
        <v>Pearl Barley 薏米</v>
      </c>
      <c r="E27" s="461"/>
      <c r="F27" s="461"/>
      <c r="G27" s="17">
        <v>5</v>
      </c>
      <c r="H27" s="186" t="str">
        <f>VLOOKUP(C27,'Sales Master'!$B$3:$F$2413,5,0)</f>
        <v>5 KG</v>
      </c>
      <c r="I27" s="497" t="str">
        <f>VLOOKUP(C27,'Sales Master'!$B$3:$E$2413,4,0)</f>
        <v>-</v>
      </c>
      <c r="J27" s="497"/>
      <c r="K27" s="30">
        <f>VLOOKUP(C27,'Sales Master'!$B$3:$J$530,9,0)</f>
        <v>10</v>
      </c>
      <c r="L27" s="64">
        <f t="shared" si="6"/>
        <v>50</v>
      </c>
      <c r="N27" s="145">
        <f>VLOOKUP(C27,'Sales Master'!$B$3:$DA$2272,104,0)</f>
        <v>7.6</v>
      </c>
      <c r="O27" s="145">
        <f t="shared" si="7"/>
        <v>2.4000000000000004</v>
      </c>
      <c r="P27" s="145">
        <f t="shared" si="8"/>
        <v>12.000000000000002</v>
      </c>
      <c r="Q27" s="170"/>
    </row>
    <row r="28" spans="2:17" ht="20.149999999999999" customHeight="1" x14ac:dyDescent="0.45">
      <c r="B28" s="29"/>
      <c r="C28" s="212" t="s">
        <v>877</v>
      </c>
      <c r="D28" s="461" t="str">
        <f>VLOOKUP(C28,'Sales Master'!B$3:D$530,2,)</f>
        <v>Small Sago 小丸</v>
      </c>
      <c r="E28" s="461"/>
      <c r="F28" s="461"/>
      <c r="G28" s="17">
        <v>1</v>
      </c>
      <c r="H28" s="186" t="str">
        <f>VLOOKUP(C28,'Sales Master'!$B$3:$F$2413,5,0)</f>
        <v>5 KG</v>
      </c>
      <c r="I28" s="497" t="str">
        <f>VLOOKUP(C28,'Sales Master'!$B$3:$E$2413,4,0)</f>
        <v>-</v>
      </c>
      <c r="J28" s="497"/>
      <c r="K28" s="30">
        <f>VLOOKUP(C28,'Sales Master'!$B$3:$J$530,9,0)</f>
        <v>10</v>
      </c>
      <c r="L28" s="64">
        <f t="shared" si="6"/>
        <v>10</v>
      </c>
      <c r="N28" s="145">
        <f>VLOOKUP(C28,'Sales Master'!$B$3:$DA$2272,104,0)</f>
        <v>0.70833333333333326</v>
      </c>
      <c r="O28" s="145">
        <f t="shared" si="7"/>
        <v>9.2916666666666661</v>
      </c>
      <c r="P28" s="145">
        <f t="shared" si="8"/>
        <v>9.2916666666666661</v>
      </c>
      <c r="Q28" s="170"/>
    </row>
    <row r="29" spans="2:17" ht="20.149999999999999" customHeight="1" x14ac:dyDescent="0.45">
      <c r="B29" s="29"/>
      <c r="C29" s="212" t="s">
        <v>880</v>
      </c>
      <c r="D29" s="461" t="str">
        <f>VLOOKUP(C29,'Sales Master'!B$3:D$530,2,)</f>
        <v>Dried Longan 龙眼干</v>
      </c>
      <c r="E29" s="461"/>
      <c r="F29" s="461"/>
      <c r="G29" s="17">
        <v>10</v>
      </c>
      <c r="H29" s="186" t="str">
        <f>VLOOKUP(C29,'Sales Master'!$B$3:$F$2413,5,0)</f>
        <v>1 kg</v>
      </c>
      <c r="I29" s="497" t="str">
        <f>VLOOKUP(C29,'Sales Master'!$B$3:$E$2413,4,0)</f>
        <v>TL</v>
      </c>
      <c r="J29" s="497"/>
      <c r="K29" s="30">
        <f>VLOOKUP(C29,'Sales Master'!$B$3:$J$530,9,0)</f>
        <v>12</v>
      </c>
      <c r="L29" s="64">
        <f t="shared" si="6"/>
        <v>120</v>
      </c>
      <c r="N29" s="145">
        <f>VLOOKUP(C29,'Sales Master'!$B$3:$DA$2272,104,0)</f>
        <v>8.8000000000000007</v>
      </c>
      <c r="O29" s="145">
        <f t="shared" si="7"/>
        <v>3.1999999999999993</v>
      </c>
      <c r="P29" s="145">
        <f t="shared" si="8"/>
        <v>31.999999999999993</v>
      </c>
      <c r="Q29" s="170"/>
    </row>
    <row r="30" spans="2:17" ht="20.149999999999999" customHeight="1" x14ac:dyDescent="0.45">
      <c r="B30" s="29"/>
      <c r="C30" s="212" t="s">
        <v>953</v>
      </c>
      <c r="D30" s="461" t="str">
        <f>VLOOKUP(C30,'Sales Master'!B$3:D$530,2,)</f>
        <v>Aloe Vera 芦荟 10mm</v>
      </c>
      <c r="E30" s="461"/>
      <c r="F30" s="461"/>
      <c r="G30" s="17">
        <v>3</v>
      </c>
      <c r="H30" s="186" t="str">
        <f>VLOOKUP(C30,'Sales Master'!$B$3:$F$2413,5,0)</f>
        <v>1 Can X A10</v>
      </c>
      <c r="I30" s="497" t="str">
        <f>VLOOKUP(C30,'Sales Master'!$B$3:$E$2413,4,0)</f>
        <v>Chefs</v>
      </c>
      <c r="J30" s="497"/>
      <c r="K30" s="30">
        <f>VLOOKUP(C30,'Sales Master'!$B$3:$J$530,9,0)</f>
        <v>10</v>
      </c>
      <c r="L30" s="64">
        <f t="shared" si="6"/>
        <v>30</v>
      </c>
      <c r="N30" s="145">
        <f>VLOOKUP(C30,'Sales Master'!$B$3:$DA$2272,104,0)</f>
        <v>7</v>
      </c>
      <c r="O30" s="145">
        <f t="shared" si="7"/>
        <v>3</v>
      </c>
      <c r="P30" s="145">
        <f t="shared" si="8"/>
        <v>9</v>
      </c>
      <c r="Q30" s="170"/>
    </row>
    <row r="31" spans="2:17" ht="20.149999999999999" customHeight="1" x14ac:dyDescent="0.45">
      <c r="B31" s="29"/>
      <c r="C31" s="212" t="s">
        <v>990</v>
      </c>
      <c r="D31" s="461" t="str">
        <f>VLOOKUP(C31,'Sales Master'!B$3:D$530,2,)</f>
        <v>Coconut Milk 椰浆</v>
      </c>
      <c r="E31" s="461"/>
      <c r="F31" s="461"/>
      <c r="G31" s="17">
        <v>4</v>
      </c>
      <c r="H31" s="186" t="str">
        <f>VLOOKUP(C31,'Sales Master'!$B$3:$F$2413,5,0)</f>
        <v>(1L x 12bag)/箱</v>
      </c>
      <c r="I31" s="497" t="str">
        <f>VLOOKUP(C31,'Sales Master'!$B$3:$E$2413,4,0)</f>
        <v>Kara UHT</v>
      </c>
      <c r="J31" s="497"/>
      <c r="K31" s="30">
        <f>VLOOKUP(C31,'Sales Master'!$B$3:$J$530,9,0)</f>
        <v>42</v>
      </c>
      <c r="L31" s="64">
        <f t="shared" si="6"/>
        <v>168</v>
      </c>
      <c r="N31" s="145">
        <f>VLOOKUP(C31,'Sales Master'!$B$3:$DA$2272,104,0)</f>
        <v>35.799999999999997</v>
      </c>
      <c r="O31" s="145">
        <f t="shared" si="7"/>
        <v>6.2000000000000028</v>
      </c>
      <c r="P31" s="145">
        <f t="shared" si="8"/>
        <v>24.800000000000011</v>
      </c>
      <c r="Q31" s="170"/>
    </row>
    <row r="32" spans="2:17" ht="20.149999999999999" customHeight="1" x14ac:dyDescent="0.45">
      <c r="B32" s="29"/>
      <c r="C32" s="212" t="s">
        <v>1009</v>
      </c>
      <c r="D32" s="461" t="str">
        <f>VLOOKUP(C32,'Sales Master'!B$3:D$530,2,)</f>
        <v>Rock Sugar 冰糖</v>
      </c>
      <c r="E32" s="461"/>
      <c r="F32" s="461"/>
      <c r="G32" s="17">
        <v>5</v>
      </c>
      <c r="H32" s="186" t="str">
        <f>VLOOKUP(C32,'Sales Master'!$B$3:$F$2413,5,0)</f>
        <v>3 KG</v>
      </c>
      <c r="I32" s="497" t="str">
        <f>VLOOKUP(C32,'Sales Master'!$B$3:$E$2413,4,0)</f>
        <v>Star</v>
      </c>
      <c r="J32" s="497"/>
      <c r="K32" s="30">
        <f>VLOOKUP(C32,'Sales Master'!$B$3:$J$530,9,0)</f>
        <v>6.5</v>
      </c>
      <c r="L32" s="64">
        <f t="shared" si="6"/>
        <v>32.5</v>
      </c>
      <c r="N32" s="145">
        <f>VLOOKUP(C32,'Sales Master'!$B$3:$DA$2272,104,0)</f>
        <v>4.666666666666667</v>
      </c>
      <c r="O32" s="145">
        <f t="shared" si="7"/>
        <v>1.833333333333333</v>
      </c>
      <c r="P32" s="145">
        <f t="shared" si="8"/>
        <v>9.1666666666666643</v>
      </c>
      <c r="Q32" s="170"/>
    </row>
    <row r="33" spans="2:17" ht="20.149999999999999" customHeight="1" x14ac:dyDescent="0.45">
      <c r="B33" s="29"/>
      <c r="C33" s="212" t="s">
        <v>1022</v>
      </c>
      <c r="D33" s="461" t="str">
        <f>VLOOKUP(C33,'Sales Master'!B$3:D$530,2,)</f>
        <v>Candy Sugar 片糖</v>
      </c>
      <c r="E33" s="461"/>
      <c r="F33" s="461"/>
      <c r="G33" s="17">
        <v>1</v>
      </c>
      <c r="H33" s="186" t="str">
        <f>VLOOKUP(C33,'Sales Master'!$B$3:$F$2413,5,0)</f>
        <v>400 GM x 50 pkt/ Ctn</v>
      </c>
      <c r="I33" s="497" t="str">
        <f>VLOOKUP(C33,'Sales Master'!$B$3:$E$2413,4,0)</f>
        <v>-</v>
      </c>
      <c r="J33" s="497"/>
      <c r="K33" s="30">
        <f>VLOOKUP(C33,'Sales Master'!$B$3:$J$530,9,0)</f>
        <v>45</v>
      </c>
      <c r="L33" s="64">
        <f t="shared" ref="L33" si="9">K33*G33</f>
        <v>45</v>
      </c>
      <c r="N33" s="145">
        <f>VLOOKUP(C33,'Sales Master'!$B$3:$DA$2272,104,0)</f>
        <v>40</v>
      </c>
      <c r="O33" s="145">
        <f t="shared" ref="O33" si="10">K33-N33</f>
        <v>5</v>
      </c>
      <c r="P33" s="145">
        <f t="shared" ref="P33" si="11">O33*G33</f>
        <v>5</v>
      </c>
      <c r="Q33" s="170"/>
    </row>
    <row r="34" spans="2:17" ht="20.149999999999999" customHeight="1" x14ac:dyDescent="0.45">
      <c r="B34" s="29"/>
      <c r="C34" s="212"/>
      <c r="G34" s="17"/>
      <c r="H34" s="186"/>
      <c r="I34" s="208"/>
      <c r="J34" s="208"/>
      <c r="K34" s="30"/>
      <c r="L34" s="64"/>
      <c r="N34" s="145"/>
      <c r="O34" s="145"/>
      <c r="P34" s="145"/>
      <c r="Q34" s="170"/>
    </row>
    <row r="35" spans="2:17" ht="20.149999999999999" customHeight="1" x14ac:dyDescent="0.45">
      <c r="B35" s="29"/>
      <c r="C35" s="212"/>
      <c r="G35" s="17"/>
      <c r="H35" s="186"/>
      <c r="I35" s="208"/>
      <c r="J35" s="208"/>
      <c r="K35" s="30"/>
      <c r="L35" s="64"/>
      <c r="N35" s="145"/>
      <c r="O35" s="145"/>
      <c r="P35" s="145"/>
      <c r="Q35" s="170"/>
    </row>
    <row r="36" spans="2:17" ht="20.149999999999999" customHeight="1" x14ac:dyDescent="0.45">
      <c r="B36" s="29"/>
      <c r="C36" s="149" t="s">
        <v>2317</v>
      </c>
      <c r="D36" s="403"/>
      <c r="E36" s="403"/>
      <c r="F36" s="403"/>
      <c r="G36" s="76"/>
      <c r="H36" s="186"/>
      <c r="I36" s="497"/>
      <c r="J36" s="497"/>
      <c r="K36" s="190"/>
      <c r="L36" s="64"/>
      <c r="N36" s="145"/>
      <c r="O36" s="145"/>
      <c r="P36" s="145"/>
      <c r="Q36" s="170"/>
    </row>
    <row r="37" spans="2:17" ht="20.149999999999999" customHeight="1" x14ac:dyDescent="0.45">
      <c r="B37" s="29"/>
      <c r="C37" s="212" t="s">
        <v>990</v>
      </c>
      <c r="D37" s="501" t="str">
        <f>VLOOKUP(C37,'[3]Sales Master'!B$3:D$663,2,0)</f>
        <v>Coconut Milk 椰浆</v>
      </c>
      <c r="E37" s="501"/>
      <c r="F37" s="501"/>
      <c r="G37" s="17">
        <v>1</v>
      </c>
      <c r="H37" s="186" t="str">
        <f>VLOOKUP(C37,'[3]Sales Master'!B$3:F$955,5,0)</f>
        <v>(1L x 12bag)/箱</v>
      </c>
      <c r="I37" s="497" t="str">
        <f>VLOOKUP(C37,'[3]Sales Master'!B$3:E$955,4,0)</f>
        <v>Kara UHT</v>
      </c>
      <c r="J37" s="497"/>
      <c r="K37" s="190">
        <v>48</v>
      </c>
      <c r="L37" s="64"/>
      <c r="N37" s="145"/>
      <c r="O37" s="145"/>
      <c r="P37" s="145"/>
      <c r="Q37" s="170"/>
    </row>
    <row r="38" spans="2:17" ht="20.149999999999999" customHeight="1" thickBot="1" x14ac:dyDescent="0.5">
      <c r="B38" s="32"/>
      <c r="C38" s="33"/>
      <c r="D38" s="490"/>
      <c r="E38" s="490"/>
      <c r="F38" s="490"/>
      <c r="G38" s="33"/>
      <c r="H38" s="33"/>
      <c r="I38" s="33"/>
      <c r="J38" s="33"/>
      <c r="K38" s="34"/>
      <c r="L38" s="35"/>
    </row>
    <row r="39" spans="2:17" ht="20.149999999999999" customHeight="1" thickBot="1" x14ac:dyDescent="0.5">
      <c r="B39" s="36"/>
      <c r="L39" s="37"/>
      <c r="M39" s="63"/>
    </row>
    <row r="40" spans="2:17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55" t="s">
        <v>13</v>
      </c>
      <c r="K40" s="456"/>
      <c r="L40" s="38">
        <f>SUM(L16:L38)</f>
        <v>922.5</v>
      </c>
      <c r="M40" s="63">
        <f>SUM(P18:P38)-L40*0.04</f>
        <v>238.65833333333333</v>
      </c>
      <c r="N40" s="133">
        <f>M40/L40</f>
        <v>0.25870822041553748</v>
      </c>
    </row>
    <row r="41" spans="2:17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7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>
        <f>L40-L41</f>
        <v>922.5</v>
      </c>
    </row>
    <row r="43" spans="2:17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83.024999999999991</v>
      </c>
    </row>
    <row r="44" spans="2:17" ht="20.149999999999999" customHeight="1" thickBot="1" x14ac:dyDescent="0.5">
      <c r="B44" s="10" t="s">
        <v>23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>
        <f>L42+L43</f>
        <v>1005.525</v>
      </c>
    </row>
    <row r="45" spans="2:17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4">
    <mergeCell ref="J44:K44"/>
    <mergeCell ref="D38:F38"/>
    <mergeCell ref="J40:K40"/>
    <mergeCell ref="J42:K42"/>
    <mergeCell ref="D28:F28"/>
    <mergeCell ref="I28:J28"/>
    <mergeCell ref="I36:J36"/>
    <mergeCell ref="D37:F37"/>
    <mergeCell ref="I37:J37"/>
    <mergeCell ref="I21:J21"/>
    <mergeCell ref="D27:F27"/>
    <mergeCell ref="D33:F33"/>
    <mergeCell ref="D30:F30"/>
    <mergeCell ref="I27:J27"/>
    <mergeCell ref="I33:J33"/>
    <mergeCell ref="I30:J30"/>
    <mergeCell ref="I31:J31"/>
    <mergeCell ref="D31:F31"/>
    <mergeCell ref="D29:F29"/>
    <mergeCell ref="D32:F32"/>
    <mergeCell ref="I32:J32"/>
    <mergeCell ref="I29:J29"/>
    <mergeCell ref="B15:D15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D26:F26"/>
    <mergeCell ref="I26:J26"/>
    <mergeCell ref="D17:F17"/>
    <mergeCell ref="D23:F23"/>
    <mergeCell ref="I23:J23"/>
    <mergeCell ref="I25:J25"/>
    <mergeCell ref="I24:J24"/>
    <mergeCell ref="D25:F25"/>
    <mergeCell ref="D20:F20"/>
    <mergeCell ref="I20:J20"/>
    <mergeCell ref="D22:F22"/>
    <mergeCell ref="I22:J22"/>
    <mergeCell ref="D24:F24"/>
    <mergeCell ref="D21:F21"/>
  </mergeCells>
  <conditionalFormatting sqref="C36">
    <cfRule type="duplicateValues" dxfId="230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FFC000"/>
    <pageSetUpPr fitToPage="1"/>
  </sheetPr>
  <dimension ref="B1:AM328"/>
  <sheetViews>
    <sheetView topLeftCell="A20" zoomScaleNormal="100" workbookViewId="0">
      <selection activeCell="F29" sqref="F2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6.45312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</v>
      </c>
      <c r="J10" s="24" t="s">
        <v>27</v>
      </c>
      <c r="K10" s="493">
        <v>202501001</v>
      </c>
      <c r="L10" s="494"/>
    </row>
    <row r="11" spans="2:15" ht="20.149999999999999" customHeight="1" x14ac:dyDescent="0.45">
      <c r="B11" s="477" t="s">
        <v>1927</v>
      </c>
      <c r="C11" s="478"/>
      <c r="D11" s="479"/>
      <c r="E11" s="25"/>
      <c r="F11" s="480" t="str">
        <f>VLOOKUP(H10,'Delivery Location'!A$4:N$460,2,0)</f>
        <v>YKGI FOODCOURT MANAGEMENT PL            1, Stadium Place #02-16/K6. Sports Hub Retail Mall. Singapore 397628</v>
      </c>
      <c r="G11" s="481"/>
      <c r="H11" s="482"/>
      <c r="J11" s="26" t="s">
        <v>9</v>
      </c>
      <c r="K11" s="495">
        <v>45658</v>
      </c>
      <c r="L11" s="496"/>
    </row>
    <row r="12" spans="2:15" ht="20.149999999999999" customHeight="1" x14ac:dyDescent="0.45">
      <c r="B12" s="488" t="s">
        <v>374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5" ht="20.149999999999999" customHeight="1" x14ac:dyDescent="0.45">
      <c r="B13" s="488" t="s">
        <v>375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5" ht="20.149999999999999" customHeight="1" x14ac:dyDescent="0.45">
      <c r="B14" s="488" t="s">
        <v>376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61" t="s">
        <v>377</v>
      </c>
      <c r="C15" s="51"/>
      <c r="D15" s="52"/>
      <c r="E15" s="21"/>
      <c r="F15" s="465"/>
      <c r="G15" s="466"/>
      <c r="H15" s="467"/>
      <c r="J15" s="27" t="s">
        <v>11</v>
      </c>
      <c r="K15" s="468"/>
      <c r="L15" s="469"/>
      <c r="N15" s="19" t="s">
        <v>909</v>
      </c>
      <c r="O15" s="19" t="s">
        <v>229</v>
      </c>
    </row>
    <row r="16" spans="2:15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53</v>
      </c>
      <c r="I17" s="470" t="s">
        <v>29</v>
      </c>
      <c r="J17" s="472"/>
      <c r="K17" s="8" t="s">
        <v>5</v>
      </c>
      <c r="L17" s="9" t="s">
        <v>6</v>
      </c>
      <c r="M17" s="28"/>
    </row>
    <row r="18" spans="2:23" ht="20.149999999999999" customHeight="1" x14ac:dyDescent="0.45">
      <c r="B18" s="29"/>
      <c r="C18" s="212" t="s">
        <v>2201</v>
      </c>
      <c r="D18" s="461" t="str">
        <f>VLOOKUP(C18,'Sales Master'!B$3:D$530,2,)</f>
        <v>Coconut Sugar Syrup 椰糖浆</v>
      </c>
      <c r="E18" s="461"/>
      <c r="F18" s="461"/>
      <c r="G18" s="76">
        <v>2</v>
      </c>
      <c r="H18" s="186" t="str">
        <f>VLOOKUP(C18,'Sales Master'!$B$3:$E$530,4,0)</f>
        <v>DO!</v>
      </c>
      <c r="I18" s="497" t="str">
        <f>VLOOKUP(C18,'Sales Master'!$B$3:F$530,5,0)</f>
        <v>GW: 5 KG/ Btl支</v>
      </c>
      <c r="J18" s="497"/>
      <c r="K18" s="83">
        <f>VLOOKUP(C18,'Sales Master'!B$3:Q$530,16,0)</f>
        <v>20</v>
      </c>
      <c r="L18" s="64">
        <f t="shared" ref="L18" si="0">K18*G18</f>
        <v>40</v>
      </c>
      <c r="M18" s="65"/>
      <c r="R18" s="19">
        <v>2</v>
      </c>
      <c r="S18" s="19" t="s">
        <v>34</v>
      </c>
      <c r="T18" s="19" t="s">
        <v>62</v>
      </c>
      <c r="V18" s="19">
        <v>6</v>
      </c>
      <c r="W18" s="19">
        <v>12</v>
      </c>
    </row>
    <row r="19" spans="2:23" ht="20.149999999999999" customHeight="1" x14ac:dyDescent="0.45">
      <c r="B19" s="29"/>
      <c r="C19" s="212" t="s">
        <v>849</v>
      </c>
      <c r="D19" s="461" t="str">
        <f>VLOOKUP(C19,'Sales Master'!B$3:D$530,2,)</f>
        <v>Green Bean 绿豆</v>
      </c>
      <c r="E19" s="461"/>
      <c r="F19" s="461"/>
      <c r="G19" s="76">
        <v>1</v>
      </c>
      <c r="H19" s="186" t="str">
        <f>VLOOKUP(C19,'Sales Master'!$B$3:$E$530,4,0)</f>
        <v>-</v>
      </c>
      <c r="I19" s="503" t="str">
        <f>VLOOKUP(C19,'Sales Master'!$B$3:F$530,5,0)</f>
        <v>5 KG</v>
      </c>
      <c r="J19" s="503"/>
      <c r="K19" s="83">
        <f>VLOOKUP(C19,'Sales Master'!B$3:Q$530,16,0)</f>
        <v>14</v>
      </c>
      <c r="L19" s="64">
        <f t="shared" ref="L19" si="1">K19*G19</f>
        <v>14</v>
      </c>
      <c r="M19" s="65"/>
    </row>
    <row r="20" spans="2:23" ht="20.149999999999999" customHeight="1" x14ac:dyDescent="0.45">
      <c r="B20" s="29"/>
      <c r="C20" s="212" t="s">
        <v>861</v>
      </c>
      <c r="D20" s="461" t="str">
        <f>VLOOKUP(C20,'Sales Master'!B$3:D$530,2,)</f>
        <v>Black Glutinous Rice 黑糯米</v>
      </c>
      <c r="E20" s="461"/>
      <c r="F20" s="461"/>
      <c r="G20" s="76">
        <v>1</v>
      </c>
      <c r="H20" s="186" t="str">
        <f>VLOOKUP(C20,'Sales Master'!$B$3:$E$530,4,0)</f>
        <v>-</v>
      </c>
      <c r="I20" s="503" t="str">
        <f>VLOOKUP(C20,'Sales Master'!$B$3:F$530,5,0)</f>
        <v>5 KGS</v>
      </c>
      <c r="J20" s="503"/>
      <c r="K20" s="83">
        <f>VLOOKUP(C20,'Sales Master'!B$3:Q$530,16,0)</f>
        <v>18</v>
      </c>
      <c r="L20" s="64">
        <f t="shared" ref="L20" si="2">K20*G20</f>
        <v>18</v>
      </c>
      <c r="M20" s="65"/>
    </row>
    <row r="21" spans="2:23" ht="20.149999999999999" customHeight="1" x14ac:dyDescent="0.45">
      <c r="B21" s="29"/>
      <c r="C21" s="212" t="s">
        <v>870</v>
      </c>
      <c r="D21" s="461" t="str">
        <f>VLOOKUP(C21,'Sales Master'!B$3:D$530,2,)</f>
        <v>Pearl Barley 薏米</v>
      </c>
      <c r="E21" s="461"/>
      <c r="F21" s="461"/>
      <c r="G21" s="76">
        <v>1</v>
      </c>
      <c r="H21" s="186" t="str">
        <f>VLOOKUP(C21,'Sales Master'!$B$3:$E$530,4,0)</f>
        <v>-</v>
      </c>
      <c r="I21" s="503" t="str">
        <f>VLOOKUP(C21,'Sales Master'!$B$3:F$530,5,0)</f>
        <v>5 KG</v>
      </c>
      <c r="J21" s="503"/>
      <c r="K21" s="83">
        <f>VLOOKUP(C21,'Sales Master'!B$3:Q$530,16,0)</f>
        <v>10</v>
      </c>
      <c r="L21" s="64">
        <f>K21*G21</f>
        <v>10</v>
      </c>
      <c r="M21" s="65"/>
    </row>
    <row r="22" spans="2:23" ht="20.149999999999999" customHeight="1" x14ac:dyDescent="0.45">
      <c r="B22" s="29"/>
      <c r="C22" s="212" t="s">
        <v>877</v>
      </c>
      <c r="D22" s="461" t="str">
        <f>VLOOKUP(C22,'Sales Master'!B$3:D$530,2,)</f>
        <v>Small Sago 小丸</v>
      </c>
      <c r="E22" s="461"/>
      <c r="F22" s="461"/>
      <c r="G22" s="76">
        <v>1</v>
      </c>
      <c r="H22" s="186" t="str">
        <f>VLOOKUP(C22,'Sales Master'!$B$3:$E$530,4,0)</f>
        <v>-</v>
      </c>
      <c r="I22" s="503" t="str">
        <f>VLOOKUP(C22,'Sales Master'!$B$3:F$530,5,0)</f>
        <v>5 KG</v>
      </c>
      <c r="J22" s="503"/>
      <c r="K22" s="83">
        <f>VLOOKUP(C22,'Sales Master'!B$3:Q$530,16,0)</f>
        <v>11</v>
      </c>
      <c r="L22" s="64">
        <f>K22*G22</f>
        <v>11</v>
      </c>
      <c r="M22" s="65"/>
    </row>
    <row r="23" spans="2:23" ht="20.149999999999999" customHeight="1" x14ac:dyDescent="0.45">
      <c r="B23" s="29"/>
      <c r="C23" s="212" t="s">
        <v>980</v>
      </c>
      <c r="D23" s="461" t="str">
        <f>VLOOKUP(C23,'Sales Master'!B$3:D$530,2,)</f>
        <v>GingKo Nut 白果罐</v>
      </c>
      <c r="E23" s="461"/>
      <c r="F23" s="461"/>
      <c r="G23" s="76">
        <v>1</v>
      </c>
      <c r="H23" s="186" t="str">
        <f>VLOOKUP(C23,'Sales Master'!$B$3:$E$530,4,0)</f>
        <v>MiLi</v>
      </c>
      <c r="I23" s="503" t="str">
        <f>VLOOKUP(C23,'Sales Master'!$B$3:F$530,5,0)</f>
        <v>397 GM x 24/ Ctn箱</v>
      </c>
      <c r="J23" s="503"/>
      <c r="K23" s="83">
        <f>VLOOKUP(C23,'Sales Master'!B$3:Q$530,16,0)</f>
        <v>32</v>
      </c>
      <c r="L23" s="64">
        <f>K23*G23</f>
        <v>32</v>
      </c>
      <c r="M23" s="65"/>
    </row>
    <row r="24" spans="2:23" ht="20.149999999999999" customHeight="1" x14ac:dyDescent="0.45">
      <c r="B24" s="29"/>
      <c r="C24" s="212" t="s">
        <v>990</v>
      </c>
      <c r="D24" s="461" t="str">
        <f>VLOOKUP(C24,'Sales Master'!B$3:D$530,2,)</f>
        <v>Coconut Milk 椰浆</v>
      </c>
      <c r="E24" s="461"/>
      <c r="F24" s="461"/>
      <c r="G24" s="76">
        <v>1</v>
      </c>
      <c r="H24" s="186" t="str">
        <f>VLOOKUP(C24,'Sales Master'!$B$3:$E$530,4,0)</f>
        <v>Kara UHT</v>
      </c>
      <c r="I24" s="503" t="str">
        <f>VLOOKUP(C24,'Sales Master'!$B$3:F$530,5,0)</f>
        <v>(1L x 12bag)/箱</v>
      </c>
      <c r="J24" s="503"/>
      <c r="K24" s="83">
        <f>VLOOKUP(C24,'Sales Master'!B$3:Q$530,16,0)</f>
        <v>42</v>
      </c>
      <c r="L24" s="64">
        <f>K24*G24</f>
        <v>42</v>
      </c>
      <c r="M24" s="65"/>
    </row>
    <row r="25" spans="2:23" ht="20.149999999999999" customHeight="1" x14ac:dyDescent="0.45">
      <c r="B25" s="29"/>
      <c r="C25" s="212" t="s">
        <v>1009</v>
      </c>
      <c r="D25" s="461" t="str">
        <f>VLOOKUP(C25,'Sales Master'!B$3:D$530,2,)</f>
        <v>Rock Sugar 冰糖</v>
      </c>
      <c r="E25" s="461"/>
      <c r="F25" s="461"/>
      <c r="G25" s="76">
        <v>1</v>
      </c>
      <c r="H25" s="186" t="str">
        <f>VLOOKUP(C25,'Sales Master'!$B$3:$E$530,4,0)</f>
        <v>Star</v>
      </c>
      <c r="I25" s="503" t="str">
        <f>VLOOKUP(C25,'Sales Master'!$B$3:F$530,5,0)</f>
        <v>3 KG</v>
      </c>
      <c r="J25" s="503"/>
      <c r="K25" s="83">
        <f>VLOOKUP(C25,'Sales Master'!B$3:Q$530,16,0)</f>
        <v>7</v>
      </c>
      <c r="L25" s="64">
        <f t="shared" ref="L25" si="3">K25*G25</f>
        <v>7</v>
      </c>
      <c r="M25" s="65"/>
    </row>
    <row r="26" spans="2:23" ht="20.149999999999999" customHeight="1" x14ac:dyDescent="0.45">
      <c r="B26" s="29"/>
      <c r="C26" s="212" t="s">
        <v>1011</v>
      </c>
      <c r="D26" s="461" t="str">
        <f>VLOOKUP(C26,'Sales Master'!B$3:D$530,2,)</f>
        <v>Brown Sugar 黑糖</v>
      </c>
      <c r="E26" s="461"/>
      <c r="F26" s="461"/>
      <c r="G26" s="76">
        <v>1</v>
      </c>
      <c r="H26" s="186" t="str">
        <f>VLOOKUP(C26,'Sales Master'!$B$3:$E$530,4,0)</f>
        <v>Star</v>
      </c>
      <c r="I26" s="503" t="str">
        <f>VLOOKUP(C26,'Sales Master'!$B$3:F$530,5,0)</f>
        <v>6 KG</v>
      </c>
      <c r="J26" s="503"/>
      <c r="K26" s="83">
        <f>VLOOKUP(C26,'Sales Master'!B$3:Q$530,16,0)</f>
        <v>16.5</v>
      </c>
      <c r="L26" s="64">
        <f>K26*G26</f>
        <v>16.5</v>
      </c>
      <c r="M26" s="65"/>
    </row>
    <row r="27" spans="2:23" ht="20.149999999999999" customHeight="1" x14ac:dyDescent="0.45">
      <c r="B27" s="29"/>
      <c r="C27" s="212" t="s">
        <v>1036</v>
      </c>
      <c r="D27" s="461" t="str">
        <f>VLOOKUP(C27,'Sales Master'!B$3:D$530,2,)</f>
        <v>Yu Tiao 油条</v>
      </c>
      <c r="E27" s="461"/>
      <c r="F27" s="461"/>
      <c r="G27" s="76">
        <v>2</v>
      </c>
      <c r="H27" s="186" t="str">
        <f>VLOOKUP(C27,'Sales Master'!$B$3:$E$530,4,0)</f>
        <v>-</v>
      </c>
      <c r="I27" s="503" t="str">
        <f>VLOOKUP(C27,'Sales Master'!$B$3:F$530,5,0)</f>
        <v>10 PCS/PKT</v>
      </c>
      <c r="J27" s="503"/>
      <c r="K27" s="83">
        <f>VLOOKUP(C27,'Sales Master'!B$3:Q$530,16,0)</f>
        <v>6</v>
      </c>
      <c r="L27" s="64">
        <f t="shared" ref="L27" si="4">K27*G27</f>
        <v>12</v>
      </c>
      <c r="M27" s="65"/>
    </row>
    <row r="28" spans="2:23" ht="20.149999999999999" customHeight="1" x14ac:dyDescent="0.45">
      <c r="B28" s="29"/>
      <c r="C28" s="212"/>
      <c r="G28" s="76"/>
      <c r="H28" s="186"/>
      <c r="I28" s="210"/>
      <c r="J28" s="210"/>
      <c r="K28" s="83"/>
      <c r="L28" s="64"/>
      <c r="M28" s="65"/>
    </row>
    <row r="29" spans="2:23" ht="20.149999999999999" customHeight="1" x14ac:dyDescent="0.45">
      <c r="B29" s="29"/>
      <c r="C29" s="212"/>
      <c r="G29" s="76"/>
      <c r="H29" s="186"/>
      <c r="I29" s="210"/>
      <c r="J29" s="210"/>
      <c r="K29" s="83"/>
      <c r="L29" s="64"/>
      <c r="M29" s="65"/>
    </row>
    <row r="30" spans="2:23" ht="20.149999999999999" customHeight="1" x14ac:dyDescent="0.45">
      <c r="B30" s="29"/>
      <c r="C30" s="149" t="s">
        <v>2317</v>
      </c>
      <c r="D30" s="403"/>
      <c r="E30" s="403"/>
      <c r="F30" s="403"/>
      <c r="G30" s="76"/>
      <c r="H30" s="186"/>
      <c r="I30" s="497"/>
      <c r="J30" s="497"/>
      <c r="K30" s="190"/>
      <c r="L30" s="64"/>
      <c r="M30" s="65"/>
    </row>
    <row r="31" spans="2:23" ht="20.149999999999999" customHeight="1" x14ac:dyDescent="0.45">
      <c r="B31" s="29"/>
      <c r="C31" s="212" t="s">
        <v>990</v>
      </c>
      <c r="D31" s="501" t="str">
        <f>VLOOKUP(C31,'[3]Sales Master'!B$3:D$663,2,0)</f>
        <v>Coconut Milk 椰浆</v>
      </c>
      <c r="E31" s="501"/>
      <c r="F31" s="501"/>
      <c r="G31" s="17">
        <v>1</v>
      </c>
      <c r="H31" s="186" t="str">
        <f>VLOOKUP(C31,'[3]Sales Master'!B$3:F$955,5,0)</f>
        <v>(1L x 12bag)/箱</v>
      </c>
      <c r="I31" s="497" t="str">
        <f>VLOOKUP(C31,'[3]Sales Master'!B$3:E$955,4,0)</f>
        <v>Kara UHT</v>
      </c>
      <c r="J31" s="497"/>
      <c r="K31" s="190">
        <v>48</v>
      </c>
      <c r="L31" s="64"/>
      <c r="M31" s="65"/>
      <c r="N31" s="145"/>
      <c r="O31" s="145"/>
      <c r="P31" s="145"/>
    </row>
    <row r="32" spans="2:23" ht="20.149999999999999" customHeight="1" x14ac:dyDescent="0.45">
      <c r="B32" s="29"/>
      <c r="C32" s="603"/>
      <c r="D32" s="604"/>
      <c r="E32" s="604"/>
      <c r="F32" s="604"/>
      <c r="G32" s="605"/>
      <c r="H32" s="606"/>
      <c r="I32" s="607"/>
      <c r="J32" s="607"/>
      <c r="K32" s="83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603"/>
      <c r="D33" s="604"/>
      <c r="E33" s="604"/>
      <c r="F33" s="604"/>
      <c r="G33" s="605"/>
      <c r="H33" s="606"/>
      <c r="I33" s="608"/>
      <c r="J33" s="608"/>
      <c r="K33" s="83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86"/>
      <c r="I34" s="208"/>
      <c r="J34" s="208"/>
      <c r="K34" s="83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90"/>
      <c r="E35" s="490"/>
      <c r="F35" s="490"/>
      <c r="G35" s="33"/>
      <c r="H35" s="57"/>
      <c r="I35" s="474"/>
      <c r="J35" s="474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55" t="s">
        <v>13</v>
      </c>
      <c r="K37" s="456"/>
      <c r="L37" s="38">
        <f>SUM(L18:L34)</f>
        <v>202.5</v>
      </c>
      <c r="M37" s="63">
        <f>SUM(P18:P35)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202.5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18.224999999999998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220.72499999999999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304" spans="12:39" x14ac:dyDescent="0.45">
      <c r="L304" s="19">
        <v>35</v>
      </c>
      <c r="Q304" s="19">
        <v>34</v>
      </c>
      <c r="R304" s="19">
        <v>34</v>
      </c>
      <c r="AM304" s="19">
        <v>34</v>
      </c>
    </row>
    <row r="328" spans="15:29" x14ac:dyDescent="0.45">
      <c r="O328" s="19">
        <v>42</v>
      </c>
      <c r="P328" s="19">
        <v>42</v>
      </c>
      <c r="Q328" s="19">
        <v>42</v>
      </c>
      <c r="V328" s="19">
        <v>42</v>
      </c>
      <c r="Y328" s="19">
        <v>42</v>
      </c>
      <c r="Z328" s="19">
        <v>42</v>
      </c>
      <c r="AC328" s="19">
        <v>42</v>
      </c>
    </row>
  </sheetData>
  <mergeCells count="46">
    <mergeCell ref="D33:F33"/>
    <mergeCell ref="I33:J33"/>
    <mergeCell ref="D32:F32"/>
    <mergeCell ref="I32:J32"/>
    <mergeCell ref="D19:F19"/>
    <mergeCell ref="I27:J27"/>
    <mergeCell ref="D27:F27"/>
    <mergeCell ref="D21:F21"/>
    <mergeCell ref="I20:J20"/>
    <mergeCell ref="I19:J19"/>
    <mergeCell ref="D31:F31"/>
    <mergeCell ref="I31:J31"/>
    <mergeCell ref="I30:J30"/>
    <mergeCell ref="J41:K41"/>
    <mergeCell ref="J39:K39"/>
    <mergeCell ref="J37:K37"/>
    <mergeCell ref="D35:F35"/>
    <mergeCell ref="I35:J35"/>
    <mergeCell ref="B1:L8"/>
    <mergeCell ref="K15:L15"/>
    <mergeCell ref="D17:F17"/>
    <mergeCell ref="I17:J17"/>
    <mergeCell ref="B14:D14"/>
    <mergeCell ref="K10:L10"/>
    <mergeCell ref="B11:D11"/>
    <mergeCell ref="F11:H15"/>
    <mergeCell ref="K11:L11"/>
    <mergeCell ref="K13:L13"/>
    <mergeCell ref="K12:L12"/>
    <mergeCell ref="K14:L14"/>
    <mergeCell ref="B12:D12"/>
    <mergeCell ref="B13:D13"/>
    <mergeCell ref="D18:F18"/>
    <mergeCell ref="D26:F26"/>
    <mergeCell ref="D25:F25"/>
    <mergeCell ref="I26:J26"/>
    <mergeCell ref="I25:J25"/>
    <mergeCell ref="I18:J18"/>
    <mergeCell ref="D22:F22"/>
    <mergeCell ref="I22:J22"/>
    <mergeCell ref="I21:J21"/>
    <mergeCell ref="D24:F24"/>
    <mergeCell ref="I24:J24"/>
    <mergeCell ref="D20:F20"/>
    <mergeCell ref="D23:F23"/>
    <mergeCell ref="I23:J23"/>
  </mergeCells>
  <conditionalFormatting sqref="C30">
    <cfRule type="duplicateValues" dxfId="179" priority="1"/>
  </conditionalFormatting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44"/>
  <sheetViews>
    <sheetView topLeftCell="A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.453125" style="19" customWidth="1"/>
    <col min="9" max="9" width="2.54296875" style="19" hidden="1" customWidth="1"/>
    <col min="10" max="10" width="14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2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2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2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2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2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2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2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2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22" ht="19" thickBot="1" x14ac:dyDescent="0.5">
      <c r="B9" s="18"/>
    </row>
    <row r="10" spans="2:2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</v>
      </c>
      <c r="J10" s="24" t="s">
        <v>27</v>
      </c>
      <c r="K10" s="493">
        <v>202412636</v>
      </c>
      <c r="L10" s="494"/>
    </row>
    <row r="11" spans="2:22" ht="20.149999999999999" customHeight="1" x14ac:dyDescent="0.45">
      <c r="B11" s="477" t="s">
        <v>208</v>
      </c>
      <c r="C11" s="478"/>
      <c r="D11" s="479"/>
      <c r="E11" s="25"/>
      <c r="F11" s="480" t="str">
        <f>VLOOKUP(H10,'Delivery Location'!A$4:N$460,2,0)</f>
        <v>梅林                                                             Changi Village Hawker Centre.                                         #01-57  Singapore 500002</v>
      </c>
      <c r="G11" s="481"/>
      <c r="H11" s="482"/>
      <c r="J11" s="26" t="s">
        <v>9</v>
      </c>
      <c r="K11" s="495">
        <v>45654</v>
      </c>
      <c r="L11" s="496"/>
    </row>
    <row r="12" spans="2:22" ht="20.149999999999999" customHeight="1" x14ac:dyDescent="0.45">
      <c r="B12" s="488" t="s">
        <v>369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22" ht="20.149999999999999" customHeight="1" x14ac:dyDescent="0.45">
      <c r="B13" s="488" t="s">
        <v>473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49" t="s">
        <v>1098</v>
      </c>
    </row>
    <row r="14" spans="2:22" ht="20.149999999999999" customHeight="1" x14ac:dyDescent="0.45">
      <c r="B14" s="488" t="s">
        <v>370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2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36" t="s">
        <v>650</v>
      </c>
      <c r="L15" s="118"/>
      <c r="N15" s="19" t="s">
        <v>1004</v>
      </c>
      <c r="O15" s="19" t="s">
        <v>626</v>
      </c>
      <c r="R15" s="19">
        <v>1</v>
      </c>
      <c r="S15" s="19" t="s">
        <v>553</v>
      </c>
      <c r="T15" s="19" t="s">
        <v>34</v>
      </c>
      <c r="V15" s="19">
        <v>22</v>
      </c>
    </row>
    <row r="16" spans="2:2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738</v>
      </c>
      <c r="D18" s="461" t="str">
        <f>VLOOKUP(C18,'Sales Master'!B$3:D$530,2,)</f>
        <v>Chendol 浆咯 (陈顺美）</v>
      </c>
      <c r="E18" s="461"/>
      <c r="F18" s="461"/>
      <c r="G18" s="76">
        <v>1</v>
      </c>
      <c r="H18" s="230" t="str">
        <f>VLOOKUP(C18,'Sales Master'!$B$3:$F$2481,5,0)</f>
        <v>3 KG</v>
      </c>
      <c r="I18" s="497" t="str">
        <f>VLOOKUP(C18,'Sales Master'!$B$3:$E$2481,4,0)</f>
        <v>TSM</v>
      </c>
      <c r="J18" s="497"/>
      <c r="K18" s="80">
        <f>VLOOKUP(C18,'Sales Master'!B$3:AB$530,27,0)</f>
        <v>9.8000000000000007</v>
      </c>
      <c r="L18" s="64">
        <f t="shared" ref="L18" si="0">K18*G18</f>
        <v>9.8000000000000007</v>
      </c>
      <c r="M18" s="81"/>
      <c r="N18" s="145">
        <f>VLOOKUP(C18,'Sales Master'!$B$3:$DA$2272,104,0)</f>
        <v>7</v>
      </c>
      <c r="O18" s="145">
        <f t="shared" ref="O18" si="1">K18-N18</f>
        <v>2.8000000000000007</v>
      </c>
      <c r="P18" s="145">
        <f t="shared" ref="P18" si="2">O18*G18</f>
        <v>2.8000000000000007</v>
      </c>
    </row>
    <row r="19" spans="2:16" ht="20.149999999999999" customHeight="1" x14ac:dyDescent="0.45">
      <c r="B19" s="258"/>
      <c r="C19" s="212" t="s">
        <v>947</v>
      </c>
      <c r="D19" s="461" t="str">
        <f>VLOOKUP(C19,'Sales Master'!B$3:D$530,2,)</f>
        <v>Sea Coconut 海底椰</v>
      </c>
      <c r="E19" s="461"/>
      <c r="F19" s="461"/>
      <c r="G19" s="76">
        <v>3</v>
      </c>
      <c r="H19" s="230" t="str">
        <f>VLOOKUP(C19,'Sales Master'!$B$3:$F$2481,5,0)</f>
        <v>1 Can X A10</v>
      </c>
      <c r="I19" s="497" t="str">
        <f>VLOOKUP(C19,'Sales Master'!$B$3:$E$2481,4,0)</f>
        <v>Chefs</v>
      </c>
      <c r="J19" s="497"/>
      <c r="K19" s="80">
        <f>VLOOKUP(C19,'Sales Master'!B$3:AB$530,27,0)</f>
        <v>19.5</v>
      </c>
      <c r="L19" s="64">
        <f>K19*G19</f>
        <v>58.5</v>
      </c>
      <c r="M19" s="81"/>
      <c r="N19" s="145">
        <f>VLOOKUP(C19,'Sales Master'!$B$3:$DA$2272,104,0)</f>
        <v>16.666666666666668</v>
      </c>
      <c r="O19" s="145">
        <f>K19-N19</f>
        <v>2.8333333333333321</v>
      </c>
      <c r="P19" s="145">
        <f>O19*G19</f>
        <v>8.4999999999999964</v>
      </c>
    </row>
    <row r="20" spans="2:16" ht="20.149999999999999" customHeight="1" x14ac:dyDescent="0.45">
      <c r="B20" s="29"/>
      <c r="C20" s="212" t="s">
        <v>949</v>
      </c>
      <c r="D20" s="461" t="str">
        <f>VLOOKUP(C20,'Sales Master'!B$3:D$530,2,)</f>
        <v>Nata 椰果芊 15mm</v>
      </c>
      <c r="E20" s="461"/>
      <c r="F20" s="461"/>
      <c r="G20" s="76">
        <v>1</v>
      </c>
      <c r="H20" s="230" t="str">
        <f>VLOOKUP(C20,'Sales Master'!$B$3:$F$2481,5,0)</f>
        <v>1 Can X A10 /罐</v>
      </c>
      <c r="I20" s="497" t="str">
        <f>VLOOKUP(C20,'Sales Master'!$B$3:$E$2481,4,0)</f>
        <v>Chefs</v>
      </c>
      <c r="J20" s="497"/>
      <c r="K20" s="80">
        <f>VLOOKUP(C20,'Sales Master'!B$3:AB$530,27,0)</f>
        <v>10</v>
      </c>
      <c r="L20" s="64">
        <f>K20*G20</f>
        <v>10</v>
      </c>
      <c r="M20" s="81"/>
      <c r="N20" s="145">
        <f>VLOOKUP(C20,'Sales Master'!$B$3:$DA$2272,104,0)</f>
        <v>7.75</v>
      </c>
      <c r="O20" s="145">
        <f>K20-N20</f>
        <v>2.25</v>
      </c>
      <c r="P20" s="145">
        <f>O20*G20</f>
        <v>2.25</v>
      </c>
    </row>
    <row r="21" spans="2:16" ht="20.149999999999999" customHeight="1" x14ac:dyDescent="0.45">
      <c r="B21" s="258"/>
      <c r="C21" s="212" t="s">
        <v>953</v>
      </c>
      <c r="D21" s="461" t="str">
        <f>VLOOKUP(C21,'Sales Master'!B$3:D$530,2,)</f>
        <v>Aloe Vera 芦荟 10mm</v>
      </c>
      <c r="E21" s="461"/>
      <c r="F21" s="461"/>
      <c r="G21" s="76">
        <v>1</v>
      </c>
      <c r="H21" s="230" t="str">
        <f>VLOOKUP(C21,'Sales Master'!$B$3:$F$2481,5,0)</f>
        <v>1 Can X A10</v>
      </c>
      <c r="I21" s="497" t="str">
        <f>VLOOKUP(C21,'Sales Master'!$B$3:$E$2481,4,0)</f>
        <v>Chefs</v>
      </c>
      <c r="J21" s="497"/>
      <c r="K21" s="80">
        <f>VLOOKUP(C21,'Sales Master'!B$3:AB$530,27,0)</f>
        <v>10</v>
      </c>
      <c r="L21" s="64">
        <f t="shared" ref="L21" si="3">K21*G21</f>
        <v>10</v>
      </c>
      <c r="M21" s="81"/>
      <c r="N21" s="145">
        <f>VLOOKUP(C21,'Sales Master'!$B$3:$DA$2272,104,0)</f>
        <v>7</v>
      </c>
      <c r="O21" s="145">
        <f t="shared" ref="O21" si="4">K21-N21</f>
        <v>3</v>
      </c>
      <c r="P21" s="145">
        <f t="shared" ref="P21" si="5">O21*G21</f>
        <v>3</v>
      </c>
    </row>
    <row r="22" spans="2:16" ht="20.149999999999999" customHeight="1" x14ac:dyDescent="0.45">
      <c r="B22" s="258"/>
      <c r="C22" s="212" t="s">
        <v>963</v>
      </c>
      <c r="D22" s="461" t="str">
        <f>VLOOKUP(C22,'Sales Master'!B$3:D$530,2,)</f>
        <v>Fruit Cocktail 杂果</v>
      </c>
      <c r="E22" s="461"/>
      <c r="F22" s="461"/>
      <c r="G22" s="76">
        <v>1</v>
      </c>
      <c r="H22" s="230" t="str">
        <f>VLOOKUP(C22,'Sales Master'!$B$3:$F$2481,5,0)</f>
        <v>820 GM x 12/ Ctn箱</v>
      </c>
      <c r="I22" s="497" t="str">
        <f>VLOOKUP(C22,'Sales Master'!$B$3:$E$2481,4,0)</f>
        <v>Statue</v>
      </c>
      <c r="J22" s="497"/>
      <c r="K22" s="80">
        <f>VLOOKUP(C22,'Sales Master'!B$3:AB$530,27,0)</f>
        <v>38</v>
      </c>
      <c r="L22" s="64">
        <f>K22*G22</f>
        <v>38</v>
      </c>
      <c r="M22" s="81"/>
      <c r="N22" s="145">
        <f>VLOOKUP(C22,'Sales Master'!$B$3:$DA$2272,104,0)</f>
        <v>33</v>
      </c>
      <c r="O22" s="145">
        <f>K22-N22</f>
        <v>5</v>
      </c>
      <c r="P22" s="145">
        <f>O22*G22</f>
        <v>5</v>
      </c>
    </row>
    <row r="23" spans="2:16" ht="20.149999999999999" customHeight="1" x14ac:dyDescent="0.45">
      <c r="B23" s="258"/>
      <c r="C23" s="212"/>
      <c r="D23" s="461"/>
      <c r="E23" s="461"/>
      <c r="F23" s="461"/>
      <c r="G23" s="76"/>
      <c r="H23" s="230"/>
      <c r="I23" s="497"/>
      <c r="J23" s="497"/>
      <c r="K23" s="80"/>
      <c r="L23" s="64"/>
      <c r="M23" s="81"/>
      <c r="N23" s="145"/>
      <c r="O23" s="145"/>
      <c r="P23" s="145"/>
    </row>
    <row r="24" spans="2:16" ht="20.149999999999999" customHeight="1" x14ac:dyDescent="0.45">
      <c r="B24" s="258"/>
      <c r="C24" s="212"/>
      <c r="D24" s="461"/>
      <c r="E24" s="461"/>
      <c r="F24" s="461"/>
      <c r="G24" s="76"/>
      <c r="H24" s="230"/>
      <c r="I24" s="519"/>
      <c r="J24" s="519"/>
      <c r="K24" s="80"/>
      <c r="L24" s="64"/>
      <c r="M24" s="8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230"/>
      <c r="I25" s="497"/>
      <c r="J25" s="497"/>
      <c r="K25" s="80"/>
      <c r="L25" s="64"/>
      <c r="M25" s="81"/>
      <c r="N25" s="145"/>
      <c r="O25" s="145"/>
      <c r="P25" s="145"/>
    </row>
    <row r="26" spans="2:16" ht="20.149999999999999" customHeight="1" x14ac:dyDescent="0.45">
      <c r="B26" s="78"/>
      <c r="C26" s="244"/>
      <c r="D26" s="461"/>
      <c r="E26" s="461"/>
      <c r="F26" s="461"/>
      <c r="G26" s="76"/>
      <c r="H26" s="230"/>
      <c r="I26" s="497"/>
      <c r="J26" s="497"/>
      <c r="K26" s="80"/>
      <c r="L26" s="64"/>
      <c r="M26" s="81"/>
      <c r="N26" s="145"/>
      <c r="O26" s="145"/>
      <c r="P26" s="145"/>
    </row>
    <row r="27" spans="2:16" ht="20.149999999999999" customHeight="1" x14ac:dyDescent="0.45">
      <c r="B27" s="29"/>
      <c r="C27" s="244"/>
      <c r="D27" s="445"/>
      <c r="E27" s="445"/>
      <c r="F27" s="445"/>
      <c r="G27" s="76"/>
      <c r="H27" s="183"/>
      <c r="I27" s="462"/>
      <c r="J27" s="462"/>
      <c r="K27" s="83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44"/>
      <c r="D28" s="445"/>
      <c r="E28" s="445"/>
      <c r="F28" s="445"/>
      <c r="G28" s="76"/>
      <c r="H28" s="183"/>
      <c r="I28" s="462"/>
      <c r="J28" s="462"/>
      <c r="K28" s="83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85"/>
      <c r="I29" s="497"/>
      <c r="J29" s="497"/>
      <c r="K29" s="80"/>
      <c r="L29" s="64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57"/>
      <c r="I30" s="474"/>
      <c r="J30" s="474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126.3</v>
      </c>
      <c r="M32" s="63">
        <f>SUM(P18:P31)</f>
        <v>21.549999999999997</v>
      </c>
      <c r="N32" s="133">
        <f>M32/L32</f>
        <v>0.17062549485352335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126.3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11.366999999999999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137.667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B1:L8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B13:D13"/>
    <mergeCell ref="I17:J17"/>
    <mergeCell ref="I24:J24"/>
    <mergeCell ref="I18:J18"/>
    <mergeCell ref="D23:F23"/>
    <mergeCell ref="I23:J23"/>
    <mergeCell ref="D18:F18"/>
    <mergeCell ref="D17:F17"/>
    <mergeCell ref="D19:F19"/>
    <mergeCell ref="I19:J19"/>
    <mergeCell ref="I20:J20"/>
    <mergeCell ref="D20:F20"/>
    <mergeCell ref="D21:F21"/>
    <mergeCell ref="I21:J21"/>
    <mergeCell ref="D22:F22"/>
    <mergeCell ref="I22:J22"/>
    <mergeCell ref="D27:F27"/>
    <mergeCell ref="I27:J27"/>
    <mergeCell ref="J36:K36"/>
    <mergeCell ref="D29:F29"/>
    <mergeCell ref="I29:J29"/>
    <mergeCell ref="D30:F30"/>
    <mergeCell ref="I30:J30"/>
    <mergeCell ref="J32:K32"/>
    <mergeCell ref="J34:K34"/>
    <mergeCell ref="D28:F28"/>
    <mergeCell ref="I28:J28"/>
    <mergeCell ref="D26:F26"/>
    <mergeCell ref="I26:J26"/>
    <mergeCell ref="D24:F24"/>
    <mergeCell ref="I25:J25"/>
    <mergeCell ref="D25:F25"/>
  </mergeCells>
  <conditionalFormatting sqref="C21">
    <cfRule type="duplicateValues" dxfId="178" priority="1"/>
  </conditionalFormatting>
  <conditionalFormatting sqref="C26:C28">
    <cfRule type="duplicateValues" dxfId="177" priority="2"/>
  </conditionalFormatting>
  <pageMargins left="0.70866141732283472" right="0.31496062992125984" top="0.23622047244094491" bottom="0.23622047244094491" header="0.31496062992125984" footer="0.31496062992125984"/>
  <pageSetup paperSize="9" scale="79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5"/>
  <sheetViews>
    <sheetView topLeftCell="B1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81640625" style="19" customWidth="1"/>
    <col min="9" max="9" width="1.1796875" style="19" customWidth="1"/>
    <col min="10" max="10" width="15.54296875" style="19" customWidth="1"/>
    <col min="11" max="11" width="11.1796875" style="19" customWidth="1"/>
    <col min="12" max="12" width="12.54296875" style="19" customWidth="1"/>
    <col min="13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</v>
      </c>
      <c r="J10" s="24" t="s">
        <v>27</v>
      </c>
      <c r="K10" s="493">
        <v>202412441</v>
      </c>
      <c r="L10" s="494"/>
    </row>
    <row r="11" spans="2:15" ht="20.149999999999999" customHeight="1" x14ac:dyDescent="0.45">
      <c r="B11" s="477" t="s">
        <v>208</v>
      </c>
      <c r="C11" s="478"/>
      <c r="D11" s="479"/>
      <c r="E11" s="25"/>
      <c r="F11" s="480" t="str">
        <f>VLOOKUP(H10,'Delivery Location'!A$4:N$460,2,0)</f>
        <v>梅林                                                             Block 425, #06-409 Tampines Street 41, Singapore 520425</v>
      </c>
      <c r="G11" s="481"/>
      <c r="H11" s="482"/>
      <c r="J11" s="26" t="s">
        <v>9</v>
      </c>
      <c r="K11" s="495">
        <v>45645</v>
      </c>
      <c r="L11" s="496"/>
    </row>
    <row r="12" spans="2:15" ht="20.149999999999999" customHeight="1" x14ac:dyDescent="0.45">
      <c r="B12" s="488" t="s">
        <v>369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5" ht="20.149999999999999" customHeight="1" x14ac:dyDescent="0.45">
      <c r="B13" s="488" t="s">
        <v>473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1049</v>
      </c>
      <c r="O13" s="19" t="s">
        <v>694</v>
      </c>
    </row>
    <row r="14" spans="2:15" ht="20.149999999999999" customHeight="1" x14ac:dyDescent="0.45">
      <c r="B14" s="488" t="s">
        <v>370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34" t="s">
        <v>650</v>
      </c>
      <c r="L15" s="118"/>
    </row>
    <row r="16" spans="2:15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672</v>
      </c>
      <c r="I17" s="470" t="s">
        <v>673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9"/>
      <c r="C18" s="212" t="s">
        <v>836</v>
      </c>
      <c r="D18" s="461" t="str">
        <f>VLOOKUP(C18,'Sales Master'!B$3:D$530,2,)</f>
        <v>Red Bean 红豆 (5.5 mm)</v>
      </c>
      <c r="E18" s="461"/>
      <c r="F18" s="461"/>
      <c r="G18" s="17">
        <v>5</v>
      </c>
      <c r="H18" s="186" t="str">
        <f>VLOOKUP(C18,'Sales Master'!$B$3:$F$2481,5,0)</f>
        <v>5 KG</v>
      </c>
      <c r="I18" s="497" t="str">
        <f>VLOOKUP(C18,'Sales Master'!$B$3:$E$2481,4,0)</f>
        <v>-</v>
      </c>
      <c r="J18" s="497"/>
      <c r="K18" s="80">
        <f>VLOOKUP(C18,'Sales Master'!B$3:AB$530,27,0)</f>
        <v>19</v>
      </c>
      <c r="L18" s="64">
        <f>K18*G18</f>
        <v>95</v>
      </c>
      <c r="M18" s="81"/>
      <c r="N18" s="145">
        <f>VLOOKUP(C18,'Sales Master'!$B$3:$DA$2272,104,0)</f>
        <v>12.5</v>
      </c>
      <c r="O18" s="145">
        <f>K18-N18</f>
        <v>6.5</v>
      </c>
      <c r="P18" s="145">
        <f>O18*G18</f>
        <v>32.5</v>
      </c>
      <c r="R18" s="63">
        <f>N18*G18*0.07</f>
        <v>4.375</v>
      </c>
    </row>
    <row r="19" spans="2:18" ht="20.149999999999999" customHeight="1" x14ac:dyDescent="0.45">
      <c r="B19" s="29"/>
      <c r="C19" s="212" t="s">
        <v>873</v>
      </c>
      <c r="D19" s="461" t="str">
        <f>VLOOKUP(C19,'Sales Master'!B$3:D$530,2,)</f>
        <v>Big Sago 大丸</v>
      </c>
      <c r="E19" s="461"/>
      <c r="F19" s="461"/>
      <c r="G19" s="17">
        <v>1</v>
      </c>
      <c r="H19" s="186" t="str">
        <f>VLOOKUP(C19,'Sales Master'!$B$3:$F$2481,5,0)</f>
        <v>5 KG</v>
      </c>
      <c r="I19" s="497" t="str">
        <f>VLOOKUP(C19,'Sales Master'!$B$3:$E$2481,4,0)</f>
        <v>-</v>
      </c>
      <c r="J19" s="497"/>
      <c r="K19" s="80">
        <f>VLOOKUP(C19,'Sales Master'!B$3:AB$530,27,0)</f>
        <v>11</v>
      </c>
      <c r="L19" s="64">
        <f>K19*G19</f>
        <v>11</v>
      </c>
      <c r="M19" s="81"/>
      <c r="N19" s="145">
        <f>VLOOKUP(C19,'Sales Master'!$B$3:$DA$2272,104,0)</f>
        <v>8.5</v>
      </c>
      <c r="O19" s="145">
        <f>K19-N19</f>
        <v>2.5</v>
      </c>
      <c r="P19" s="145">
        <f>O19*G19</f>
        <v>2.5</v>
      </c>
      <c r="R19" s="63">
        <f>N19*G19*0.07</f>
        <v>0.59500000000000008</v>
      </c>
    </row>
    <row r="20" spans="2:18" ht="20.149999999999999" customHeight="1" x14ac:dyDescent="0.45">
      <c r="B20" s="29"/>
      <c r="C20" s="212" t="s">
        <v>884</v>
      </c>
      <c r="D20" s="461" t="str">
        <f>VLOOKUP(C20,'Sales Master'!B$3:D$530,2,)</f>
        <v>Fungus 黄木耳散</v>
      </c>
      <c r="E20" s="461"/>
      <c r="F20" s="461"/>
      <c r="G20" s="17">
        <v>1</v>
      </c>
      <c r="H20" s="186" t="str">
        <f>VLOOKUP(C20,'Sales Master'!$B$3:$F$2481,5,0)</f>
        <v>1 kg</v>
      </c>
      <c r="I20" s="497" t="str">
        <f>VLOOKUP(C20,'Sales Master'!$B$3:$E$2481,4,0)</f>
        <v>黄</v>
      </c>
      <c r="J20" s="497"/>
      <c r="K20" s="80">
        <f>VLOOKUP(C20,'Sales Master'!B$3:AB$530,27,0)</f>
        <v>16</v>
      </c>
      <c r="L20" s="64">
        <f>K20*G20</f>
        <v>16</v>
      </c>
      <c r="M20" s="81"/>
      <c r="N20" s="145">
        <f>VLOOKUP(C20,'Sales Master'!$B$3:$DA$2272,104,0)</f>
        <v>11</v>
      </c>
      <c r="O20" s="145">
        <f>K20-N20</f>
        <v>5</v>
      </c>
      <c r="P20" s="145">
        <f>O20*G20</f>
        <v>5</v>
      </c>
      <c r="R20" s="63"/>
    </row>
    <row r="21" spans="2:18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80"/>
      <c r="L21" s="64"/>
      <c r="M21" s="81"/>
      <c r="N21" s="145"/>
      <c r="O21" s="145"/>
      <c r="P21" s="145"/>
      <c r="R21" s="63">
        <f>N21*G21*0.07</f>
        <v>0</v>
      </c>
    </row>
    <row r="22" spans="2:18" ht="20.149999999999999" customHeight="1" x14ac:dyDescent="0.45">
      <c r="B22" s="29"/>
      <c r="C22" s="212"/>
      <c r="D22" s="461"/>
      <c r="E22" s="461"/>
      <c r="F22" s="461"/>
      <c r="G22" s="17"/>
      <c r="H22" s="188"/>
      <c r="I22" s="497"/>
      <c r="J22" s="497"/>
      <c r="K22" s="80"/>
      <c r="L22" s="64"/>
      <c r="M22" s="81"/>
      <c r="N22" s="145"/>
      <c r="O22" s="145"/>
      <c r="P22" s="145"/>
      <c r="R22" s="63"/>
    </row>
    <row r="23" spans="2:18" ht="20.149999999999999" customHeight="1" x14ac:dyDescent="0.45">
      <c r="B23" s="29"/>
      <c r="G23" s="17"/>
      <c r="H23" s="188"/>
      <c r="I23" s="208"/>
      <c r="J23" s="208"/>
      <c r="K23" s="80"/>
      <c r="L23" s="64"/>
      <c r="M23" s="81"/>
      <c r="N23" s="145"/>
      <c r="O23" s="145"/>
      <c r="P23" s="145"/>
      <c r="R23" s="63"/>
    </row>
    <row r="24" spans="2:18" ht="20.149999999999999" customHeight="1" x14ac:dyDescent="0.45">
      <c r="B24" s="29"/>
      <c r="C24" s="17"/>
      <c r="G24" s="17"/>
      <c r="H24" s="188"/>
      <c r="I24" s="208"/>
      <c r="J24" s="208"/>
      <c r="K24" s="80"/>
      <c r="L24" s="64"/>
      <c r="M24" s="81"/>
      <c r="N24" s="145"/>
      <c r="O24" s="145"/>
      <c r="P24" s="145"/>
      <c r="R24" s="63"/>
    </row>
    <row r="25" spans="2:18" ht="20.149999999999999" customHeight="1" x14ac:dyDescent="0.45">
      <c r="B25" s="29"/>
      <c r="C25" s="198" t="s">
        <v>1975</v>
      </c>
      <c r="D25" s="147"/>
      <c r="E25" s="147"/>
      <c r="F25" s="147"/>
      <c r="G25" s="76"/>
      <c r="H25" s="56"/>
      <c r="I25" s="56"/>
      <c r="J25" s="56"/>
      <c r="K25" s="190"/>
      <c r="L25" s="236"/>
      <c r="M25" s="65"/>
      <c r="N25" s="145"/>
      <c r="O25" s="145"/>
      <c r="P25" s="145"/>
    </row>
    <row r="26" spans="2:18" ht="20.149999999999999" customHeight="1" x14ac:dyDescent="0.45">
      <c r="B26" s="29"/>
      <c r="C26" s="244" t="s">
        <v>1048</v>
      </c>
      <c r="D26" s="445" t="str">
        <f>VLOOKUP(C26,'Sales Master'!B$3:D$530,2,)</f>
        <v>Food Coloring 颜色水</v>
      </c>
      <c r="E26" s="445"/>
      <c r="F26" s="445"/>
      <c r="G26" s="76">
        <v>1</v>
      </c>
      <c r="H26" s="183" t="str">
        <f>VLOOKUP(C26,'Sales Master'!$B$3:$F$2413,5,0)</f>
        <v>5 LT/ Btl</v>
      </c>
      <c r="I26" s="462" t="str">
        <f>VLOOKUP(C26,'Sales Master'!$B$3:$E$2413,4,0)</f>
        <v>Black/黑</v>
      </c>
      <c r="J26" s="462"/>
      <c r="K26" s="83">
        <v>35</v>
      </c>
      <c r="L26" s="236"/>
      <c r="M26" s="65"/>
      <c r="N26" s="145"/>
      <c r="O26" s="145"/>
      <c r="P26" s="145"/>
    </row>
    <row r="27" spans="2:18" ht="20.149999999999999" customHeight="1" x14ac:dyDescent="0.45">
      <c r="B27" s="29"/>
      <c r="C27" s="244" t="s">
        <v>1049</v>
      </c>
      <c r="D27" s="445" t="str">
        <f>VLOOKUP(C27,'Sales Master'!B$3:D$530,2,)</f>
        <v>Flavour Essence 香精</v>
      </c>
      <c r="E27" s="445"/>
      <c r="F27" s="445"/>
      <c r="G27" s="76">
        <v>1</v>
      </c>
      <c r="H27" s="183" t="str">
        <f>VLOOKUP(C27,'Sales Master'!$B$3:$F$2413,5,0)</f>
        <v>450 ML/ Btl</v>
      </c>
      <c r="I27" s="462" t="str">
        <f>VLOOKUP(C27,'Sales Master'!$B$3:$E$2413,4,0)</f>
        <v>Almond No 1</v>
      </c>
      <c r="J27" s="462"/>
      <c r="K27" s="83">
        <v>24</v>
      </c>
      <c r="L27" s="236"/>
      <c r="M27" s="65"/>
      <c r="N27" s="145"/>
      <c r="O27" s="145"/>
      <c r="P27" s="145"/>
    </row>
    <row r="28" spans="2:18" ht="20.149999999999999" customHeight="1" x14ac:dyDescent="0.45">
      <c r="B28" s="29"/>
      <c r="C28" s="17"/>
      <c r="D28" s="461"/>
      <c r="E28" s="461"/>
      <c r="F28" s="461"/>
      <c r="G28" s="17"/>
      <c r="H28" s="186"/>
      <c r="I28" s="491"/>
      <c r="J28" s="491"/>
      <c r="K28" s="80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147"/>
      <c r="D29" s="461"/>
      <c r="E29" s="461"/>
      <c r="F29" s="461"/>
      <c r="G29" s="17"/>
      <c r="H29" s="188"/>
      <c r="I29" s="497"/>
      <c r="J29" s="497"/>
      <c r="K29" s="80"/>
      <c r="L29" s="64"/>
      <c r="M29" s="65"/>
    </row>
    <row r="30" spans="2:18" ht="20.149999999999999" customHeight="1" x14ac:dyDescent="0.45">
      <c r="B30" s="29"/>
      <c r="C30" s="147"/>
      <c r="D30" s="461"/>
      <c r="E30" s="461"/>
      <c r="F30" s="461"/>
      <c r="G30" s="17"/>
      <c r="H30" s="188"/>
      <c r="I30" s="497"/>
      <c r="J30" s="497"/>
      <c r="K30" s="80"/>
      <c r="L30" s="64"/>
    </row>
    <row r="31" spans="2:18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SUM(L17:L30)</f>
        <v>122</v>
      </c>
      <c r="M33" s="63">
        <f>SUM(P18:P30)</f>
        <v>40</v>
      </c>
      <c r="N33" s="133">
        <f>M33/L33</f>
        <v>0.32786885245901637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122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10.98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132.97999999999999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D27:F27"/>
    <mergeCell ref="I27:J27"/>
    <mergeCell ref="D28:F28"/>
    <mergeCell ref="I28:J28"/>
    <mergeCell ref="D22:F22"/>
    <mergeCell ref="D20:F20"/>
    <mergeCell ref="I20:J20"/>
    <mergeCell ref="J37:K37"/>
    <mergeCell ref="D29:F29"/>
    <mergeCell ref="I29:J29"/>
    <mergeCell ref="D31:F31"/>
    <mergeCell ref="I31:J31"/>
    <mergeCell ref="J33:K33"/>
    <mergeCell ref="J35:K35"/>
    <mergeCell ref="D30:F30"/>
    <mergeCell ref="I30:J30"/>
    <mergeCell ref="I21:J21"/>
    <mergeCell ref="I22:J22"/>
    <mergeCell ref="D26:F26"/>
    <mergeCell ref="I26:J26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8:F18"/>
    <mergeCell ref="D17:F17"/>
    <mergeCell ref="I17:J17"/>
    <mergeCell ref="I18:J18"/>
    <mergeCell ref="D19:F19"/>
    <mergeCell ref="I19:J19"/>
  </mergeCells>
  <conditionalFormatting sqref="C25">
    <cfRule type="duplicateValues" dxfId="176" priority="1"/>
  </conditionalFormatting>
  <conditionalFormatting sqref="C26:C27">
    <cfRule type="duplicateValues" dxfId="175" priority="2"/>
  </conditionalFormatting>
  <conditionalFormatting sqref="C29">
    <cfRule type="duplicateValues" dxfId="174" priority="143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O1048536"/>
  <sheetViews>
    <sheetView topLeftCell="A28" zoomScaleNormal="100" workbookViewId="0">
      <selection activeCell="G39" sqref="G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54296875" style="19" customWidth="1"/>
    <col min="9" max="9" width="1.54296875" style="19" customWidth="1"/>
    <col min="10" max="10" width="15.54296875" style="19" customWidth="1"/>
    <col min="11" max="11" width="12.26953125" style="19" customWidth="1"/>
    <col min="12" max="12" width="12.54296875" style="19" customWidth="1"/>
    <col min="13" max="13" width="16.36328125" style="19" customWidth="1"/>
    <col min="14" max="16384" width="12.54296875" style="19"/>
  </cols>
  <sheetData>
    <row r="1" spans="2:15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5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5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5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5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5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5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5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</v>
      </c>
      <c r="J10" s="24" t="s">
        <v>27</v>
      </c>
      <c r="K10" s="493">
        <v>202501177</v>
      </c>
      <c r="L10" s="494"/>
    </row>
    <row r="11" spans="2:15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滨海甜品                                                      Blk 248, Simei St 5. Singapore 520248</v>
      </c>
      <c r="G11" s="481"/>
      <c r="H11" s="482"/>
      <c r="J11" s="26" t="s">
        <v>9</v>
      </c>
      <c r="K11" s="495">
        <v>45665</v>
      </c>
      <c r="L11" s="496"/>
    </row>
    <row r="12" spans="2:15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5" ht="20.149999999999999" customHeight="1" x14ac:dyDescent="0.45">
      <c r="B13" s="551"/>
      <c r="C13" s="552"/>
      <c r="D13" s="553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53" t="s">
        <v>1106</v>
      </c>
      <c r="O13" s="18"/>
    </row>
    <row r="14" spans="2:15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5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721</v>
      </c>
      <c r="D18" s="461" t="str">
        <f>VLOOKUP(C18,'Sales Master'!B$3:D$530,2,)</f>
        <v xml:space="preserve">Fresh Soursop 红毛榴莲 </v>
      </c>
      <c r="E18" s="461"/>
      <c r="F18" s="461"/>
      <c r="G18" s="76">
        <v>1</v>
      </c>
      <c r="H18" s="85" t="str">
        <f>VLOOKUP(C18,'Sales Master'!$B$3:$F$2482,5,0)</f>
        <v>GW:5 KG/ Pkt包</v>
      </c>
      <c r="I18" s="497" t="str">
        <f>VLOOKUP(C18,'Sales Master'!$B$3:$E$2482,4,0)</f>
        <v>DO!</v>
      </c>
      <c r="J18" s="497"/>
      <c r="K18" s="99">
        <f>VLOOKUP(C18,'Sales Master'!B$3:N$530,13,0)</f>
        <v>34</v>
      </c>
      <c r="L18" s="84">
        <f t="shared" ref="L18" si="0">K18*G18</f>
        <v>34</v>
      </c>
      <c r="M18" s="65"/>
    </row>
    <row r="19" spans="2:13" ht="20.149999999999999" customHeight="1" x14ac:dyDescent="0.45">
      <c r="B19" s="29"/>
      <c r="C19" s="212" t="s">
        <v>726</v>
      </c>
      <c r="D19" s="461" t="str">
        <f>VLOOKUP(C19,'Sales Master'!B$3:D$530,2,)</f>
        <v>Durian Puree 榴莲酱</v>
      </c>
      <c r="E19" s="461"/>
      <c r="F19" s="461"/>
      <c r="G19" s="76">
        <v>1</v>
      </c>
      <c r="H19" s="85" t="str">
        <f>VLOOKUP(C19,'Sales Master'!$B$3:$F$2482,5,0)</f>
        <v>1 KG/ Box盒</v>
      </c>
      <c r="I19" s="497" t="str">
        <f>VLOOKUP(C19,'Sales Master'!$B$3:$E$2482,4,0)</f>
        <v>DO!</v>
      </c>
      <c r="J19" s="497"/>
      <c r="K19" s="99">
        <f>VLOOKUP(C19,'Sales Master'!B$3:N$530,13,0)</f>
        <v>9</v>
      </c>
      <c r="L19" s="84">
        <f t="shared" ref="L19:L31" si="1">K19*G19</f>
        <v>9</v>
      </c>
      <c r="M19" s="65"/>
    </row>
    <row r="20" spans="2:13" ht="20.149999999999999" customHeight="1" x14ac:dyDescent="0.45">
      <c r="B20" s="29"/>
      <c r="C20" s="212" t="s">
        <v>738</v>
      </c>
      <c r="D20" s="461" t="str">
        <f>VLOOKUP(C20,'Sales Master'!B$3:D$530,2,)</f>
        <v>Chendol 浆咯 (陈顺美）</v>
      </c>
      <c r="E20" s="461"/>
      <c r="F20" s="461"/>
      <c r="G20" s="76">
        <v>2</v>
      </c>
      <c r="H20" s="85" t="str">
        <f>VLOOKUP(C20,'Sales Master'!$B$3:$F$2482,5,0)</f>
        <v>3 KG</v>
      </c>
      <c r="I20" s="497" t="str">
        <f>VLOOKUP(C20,'Sales Master'!$B$3:$E$2482,4,0)</f>
        <v>TSM</v>
      </c>
      <c r="J20" s="497"/>
      <c r="K20" s="99">
        <f>VLOOKUP(C20,'Sales Master'!B$3:N$530,13,0)</f>
        <v>10</v>
      </c>
      <c r="L20" s="84">
        <f t="shared" si="1"/>
        <v>20</v>
      </c>
      <c r="M20" s="65"/>
    </row>
    <row r="21" spans="2:13" ht="20.149999999999999" customHeight="1" x14ac:dyDescent="0.45">
      <c r="B21" s="29"/>
      <c r="C21" s="212" t="s">
        <v>757</v>
      </c>
      <c r="D21" s="461" t="str">
        <f>VLOOKUP(C21,'Sales Master'!B$3:D$530,2,)</f>
        <v>Tadpole JELLY  蝌蚪</v>
      </c>
      <c r="E21" s="461"/>
      <c r="F21" s="461"/>
      <c r="G21" s="76">
        <v>1</v>
      </c>
      <c r="H21" s="85" t="str">
        <f>VLOOKUP(C21,'Sales Master'!$B$3:$F$2482,5,0)</f>
        <v>1 KG/ Bag包</v>
      </c>
      <c r="I21" s="497" t="str">
        <f>VLOOKUP(C21,'Sales Master'!$B$3:$E$2482,4,0)</f>
        <v>FJ</v>
      </c>
      <c r="J21" s="497"/>
      <c r="K21" s="99">
        <f>VLOOKUP(C21,'Sales Master'!B$3:N$530,13,0)</f>
        <v>6</v>
      </c>
      <c r="L21" s="84">
        <f t="shared" si="1"/>
        <v>6</v>
      </c>
      <c r="M21" s="65"/>
    </row>
    <row r="22" spans="2:13" ht="20.149999999999999" customHeight="1" x14ac:dyDescent="0.45">
      <c r="B22" s="29"/>
      <c r="C22" s="244" t="s">
        <v>828</v>
      </c>
      <c r="D22" s="461" t="str">
        <f>VLOOKUP(C22,'Sales Master'!B$3:D$530,2,)</f>
        <v>Atap Seeds in Syrup 亚嗒子</v>
      </c>
      <c r="E22" s="461"/>
      <c r="F22" s="461"/>
      <c r="G22" s="76">
        <v>1</v>
      </c>
      <c r="H22" s="85" t="str">
        <f>VLOOKUP(C22,'Sales Master'!$B$3:$F$2482,5,0)</f>
        <v>NW(2.1:0.9) 3kg/ Bag包</v>
      </c>
      <c r="I22" s="497" t="str">
        <f>VLOOKUP(C22,'Sales Master'!$B$3:$E$2482,4,0)</f>
        <v>DO!</v>
      </c>
      <c r="J22" s="497"/>
      <c r="K22" s="99">
        <f>VLOOKUP(C22,'Sales Master'!B$3:N$530,13,0)</f>
        <v>13</v>
      </c>
      <c r="L22" s="84">
        <f t="shared" si="1"/>
        <v>13</v>
      </c>
      <c r="M22" s="65"/>
    </row>
    <row r="23" spans="2:13" ht="20.149999999999999" customHeight="1" x14ac:dyDescent="0.45">
      <c r="B23" s="29"/>
      <c r="C23" s="212" t="s">
        <v>834</v>
      </c>
      <c r="D23" s="461" t="str">
        <f>VLOOKUP(C23,'Sales Master'!B$3:D$530,2,)</f>
        <v>GingKo Nut (Peel off) 白果仁</v>
      </c>
      <c r="E23" s="461"/>
      <c r="F23" s="461"/>
      <c r="G23" s="76">
        <v>3</v>
      </c>
      <c r="H23" s="85" t="str">
        <f>VLOOKUP(C23,'Sales Master'!$B$3:$F$2482,5,0)</f>
        <v>1 KG (500 GM X 2)</v>
      </c>
      <c r="I23" s="497" t="str">
        <f>VLOOKUP(C23,'Sales Master'!$B$3:$E$2482,4,0)</f>
        <v>-</v>
      </c>
      <c r="J23" s="497"/>
      <c r="K23" s="99">
        <f>VLOOKUP(C23,'Sales Master'!B$3:N$530,13,0)</f>
        <v>5</v>
      </c>
      <c r="L23" s="84">
        <f t="shared" si="1"/>
        <v>15</v>
      </c>
      <c r="M23" s="65"/>
    </row>
    <row r="24" spans="2:13" ht="20.149999999999999" customHeight="1" x14ac:dyDescent="0.45">
      <c r="B24" s="29"/>
      <c r="C24" s="244" t="s">
        <v>836</v>
      </c>
      <c r="D24" s="461" t="str">
        <f>VLOOKUP(C24,'Sales Master'!B$3:D$530,2,)</f>
        <v>Red Bean 红豆 (5.5 mm)</v>
      </c>
      <c r="E24" s="461"/>
      <c r="F24" s="461"/>
      <c r="G24" s="76">
        <v>1</v>
      </c>
      <c r="H24" s="85" t="str">
        <f>VLOOKUP(C24,'Sales Master'!$B$3:$F$2482,5,0)</f>
        <v>5 KG</v>
      </c>
      <c r="I24" s="497" t="str">
        <f>VLOOKUP(C24,'Sales Master'!$B$3:$E$2482,4,0)</f>
        <v>-</v>
      </c>
      <c r="J24" s="497"/>
      <c r="K24" s="99">
        <f>VLOOKUP(C24,'Sales Master'!B$3:N$530,13,0)</f>
        <v>19.5</v>
      </c>
      <c r="L24" s="84">
        <f t="shared" si="1"/>
        <v>19.5</v>
      </c>
      <c r="M24" s="65"/>
    </row>
    <row r="25" spans="2:13" ht="20.149999999999999" customHeight="1" x14ac:dyDescent="0.45">
      <c r="B25" s="29"/>
      <c r="C25" s="244" t="s">
        <v>846</v>
      </c>
      <c r="D25" s="461" t="str">
        <f>VLOOKUP(C25,'Sales Master'!B$3:D$530,2,)</f>
        <v>Chia Tao 赤豆</v>
      </c>
      <c r="E25" s="461"/>
      <c r="F25" s="461"/>
      <c r="G25" s="76">
        <v>1</v>
      </c>
      <c r="H25" s="85" t="str">
        <f>VLOOKUP(C25,'Sales Master'!$B$3:$F$2482,5,0)</f>
        <v>5 KG</v>
      </c>
      <c r="I25" s="497" t="str">
        <f>VLOOKUP(C25,'Sales Master'!$B$3:$E$2482,4,0)</f>
        <v>-</v>
      </c>
      <c r="J25" s="497"/>
      <c r="K25" s="99">
        <f>VLOOKUP(C25,'Sales Master'!B$3:N$530,13,0)</f>
        <v>18</v>
      </c>
      <c r="L25" s="84">
        <f t="shared" si="1"/>
        <v>18</v>
      </c>
      <c r="M25" s="65"/>
    </row>
    <row r="26" spans="2:13" ht="20.149999999999999" customHeight="1" x14ac:dyDescent="0.45">
      <c r="B26" s="29"/>
      <c r="C26" s="244" t="s">
        <v>849</v>
      </c>
      <c r="D26" s="461" t="str">
        <f>VLOOKUP(C26,'Sales Master'!B$3:D$530,2,)</f>
        <v>Green Bean 绿豆</v>
      </c>
      <c r="E26" s="461"/>
      <c r="F26" s="461"/>
      <c r="G26" s="76">
        <v>1</v>
      </c>
      <c r="H26" s="85" t="str">
        <f>VLOOKUP(C26,'Sales Master'!$B$3:$F$2482,5,0)</f>
        <v>5 KG</v>
      </c>
      <c r="I26" s="497" t="str">
        <f>VLOOKUP(C26,'Sales Master'!$B$3:$E$2482,4,0)</f>
        <v>-</v>
      </c>
      <c r="J26" s="497"/>
      <c r="K26" s="99">
        <f>VLOOKUP(C26,'Sales Master'!B$3:N$530,13,0)</f>
        <v>14</v>
      </c>
      <c r="L26" s="84">
        <f t="shared" si="1"/>
        <v>14</v>
      </c>
      <c r="M26" s="65"/>
    </row>
    <row r="27" spans="2:13" ht="20.149999999999999" customHeight="1" x14ac:dyDescent="0.45">
      <c r="B27" s="29"/>
      <c r="C27" s="244" t="s">
        <v>870</v>
      </c>
      <c r="D27" s="461" t="str">
        <f>VLOOKUP(C27,'Sales Master'!B$3:D$530,2,)</f>
        <v>Pearl Barley 薏米</v>
      </c>
      <c r="E27" s="461"/>
      <c r="F27" s="461"/>
      <c r="G27" s="76">
        <v>1</v>
      </c>
      <c r="H27" s="85" t="str">
        <f>VLOOKUP(C27,'Sales Master'!$B$3:$F$2482,5,0)</f>
        <v>5 KG</v>
      </c>
      <c r="I27" s="497" t="str">
        <f>VLOOKUP(C27,'Sales Master'!$B$3:$E$2482,4,0)</f>
        <v>-</v>
      </c>
      <c r="J27" s="497"/>
      <c r="K27" s="99">
        <f>VLOOKUP(C27,'Sales Master'!B$3:N$530,13,0)</f>
        <v>10</v>
      </c>
      <c r="L27" s="84">
        <f t="shared" si="1"/>
        <v>10</v>
      </c>
      <c r="M27" s="65"/>
    </row>
    <row r="28" spans="2:13" ht="20.149999999999999" customHeight="1" x14ac:dyDescent="0.45">
      <c r="B28" s="29"/>
      <c r="C28" s="244" t="s">
        <v>873</v>
      </c>
      <c r="D28" s="461" t="str">
        <f>VLOOKUP(C28,'Sales Master'!B$3:D$530,2,)</f>
        <v>Big Sago 大丸</v>
      </c>
      <c r="E28" s="461"/>
      <c r="F28" s="461"/>
      <c r="G28" s="76">
        <v>1</v>
      </c>
      <c r="H28" s="85" t="str">
        <f>VLOOKUP(C28,'Sales Master'!$B$3:$F$2482,5,0)</f>
        <v>5 KG</v>
      </c>
      <c r="I28" s="497" t="str">
        <f>VLOOKUP(C28,'Sales Master'!$B$3:$E$2482,4,0)</f>
        <v>-</v>
      </c>
      <c r="J28" s="497"/>
      <c r="K28" s="99">
        <f>VLOOKUP(C28,'Sales Master'!B$3:N$530,13,0)</f>
        <v>11</v>
      </c>
      <c r="L28" s="84">
        <f t="shared" si="1"/>
        <v>11</v>
      </c>
      <c r="M28" s="65"/>
    </row>
    <row r="29" spans="2:13" ht="20.149999999999999" customHeight="1" x14ac:dyDescent="0.45">
      <c r="B29" s="29"/>
      <c r="C29" s="244" t="s">
        <v>877</v>
      </c>
      <c r="D29" s="461" t="str">
        <f>VLOOKUP(C29,'Sales Master'!B$3:D$530,2,)</f>
        <v>Small Sago 小丸</v>
      </c>
      <c r="E29" s="461"/>
      <c r="F29" s="461"/>
      <c r="G29" s="76">
        <v>1</v>
      </c>
      <c r="H29" s="85" t="str">
        <f>VLOOKUP(C29,'Sales Master'!$B$3:$F$2482,5,0)</f>
        <v>5 KG</v>
      </c>
      <c r="I29" s="497" t="str">
        <f>VLOOKUP(C29,'Sales Master'!$B$3:$E$2482,4,0)</f>
        <v>-</v>
      </c>
      <c r="J29" s="497"/>
      <c r="K29" s="99">
        <f>VLOOKUP(C29,'Sales Master'!B$3:N$530,13,0)</f>
        <v>10.5</v>
      </c>
      <c r="L29" s="84">
        <f>K29*G29</f>
        <v>10.5</v>
      </c>
      <c r="M29" s="65"/>
    </row>
    <row r="30" spans="2:13" ht="20.149999999999999" customHeight="1" x14ac:dyDescent="0.45">
      <c r="B30" s="29"/>
      <c r="C30" s="244" t="s">
        <v>880</v>
      </c>
      <c r="D30" s="461" t="str">
        <f>VLOOKUP(C30,'Sales Master'!B$3:D$530,2,)</f>
        <v>Dried Longan 龙眼干</v>
      </c>
      <c r="E30" s="461"/>
      <c r="F30" s="461"/>
      <c r="G30" s="76">
        <v>2</v>
      </c>
      <c r="H30" s="85" t="str">
        <f>VLOOKUP(C30,'Sales Master'!$B$3:$F$2482,5,0)</f>
        <v>1 kg</v>
      </c>
      <c r="I30" s="497" t="str">
        <f>VLOOKUP(C30,'Sales Master'!$B$3:$E$2482,4,0)</f>
        <v>TL</v>
      </c>
      <c r="J30" s="497"/>
      <c r="K30" s="99">
        <f>VLOOKUP(C30,'Sales Master'!B$3:N$530,13,0)</f>
        <v>13</v>
      </c>
      <c r="L30" s="84">
        <f t="shared" si="1"/>
        <v>26</v>
      </c>
      <c r="M30" s="65"/>
    </row>
    <row r="31" spans="2:13" ht="20.149999999999999" customHeight="1" x14ac:dyDescent="0.45">
      <c r="B31" s="29"/>
      <c r="C31" s="212" t="s">
        <v>947</v>
      </c>
      <c r="D31" s="461" t="str">
        <f>VLOOKUP(C31,'Sales Master'!B$3:D$530,2,)</f>
        <v>Sea Coconut 海底椰</v>
      </c>
      <c r="E31" s="461"/>
      <c r="F31" s="461"/>
      <c r="G31" s="76">
        <v>1</v>
      </c>
      <c r="H31" s="85" t="str">
        <f>VLOOKUP(C31,'Sales Master'!$B$3:$F$2482,5,0)</f>
        <v>1 Can X A10</v>
      </c>
      <c r="I31" s="497" t="str">
        <f>VLOOKUP(C31,'Sales Master'!$B$3:$E$2482,4,0)</f>
        <v>Chefs</v>
      </c>
      <c r="J31" s="497"/>
      <c r="K31" s="99">
        <f>VLOOKUP(C31,'Sales Master'!B$3:N$530,13,0)</f>
        <v>19.5</v>
      </c>
      <c r="L31" s="84">
        <f t="shared" si="1"/>
        <v>19.5</v>
      </c>
      <c r="M31" s="65"/>
    </row>
    <row r="32" spans="2:13" ht="20.149999999999999" customHeight="1" x14ac:dyDescent="0.45">
      <c r="B32" s="29"/>
      <c r="C32" s="212" t="s">
        <v>949</v>
      </c>
      <c r="D32" s="461" t="str">
        <f>VLOOKUP(C32,'Sales Master'!B$3:D$530,2,)</f>
        <v>Nata 椰果芊 15mm</v>
      </c>
      <c r="E32" s="461"/>
      <c r="F32" s="461"/>
      <c r="G32" s="76">
        <v>1</v>
      </c>
      <c r="H32" s="85" t="str">
        <f>VLOOKUP(C32,'Sales Master'!$B$3:$F$2482,5,0)</f>
        <v>1 Can X A10 /罐</v>
      </c>
      <c r="I32" s="497" t="str">
        <f>VLOOKUP(C32,'Sales Master'!$B$3:$E$2482,4,0)</f>
        <v>Chefs</v>
      </c>
      <c r="J32" s="497"/>
      <c r="K32" s="99">
        <f>VLOOKUP(C32,'Sales Master'!B$3:N$530,13,0)</f>
        <v>10</v>
      </c>
      <c r="L32" s="84">
        <f>K32*G32</f>
        <v>10</v>
      </c>
      <c r="M32" s="65"/>
    </row>
    <row r="33" spans="2:13" ht="20.149999999999999" customHeight="1" x14ac:dyDescent="0.45">
      <c r="B33" s="29"/>
      <c r="C33" s="212" t="s">
        <v>971</v>
      </c>
      <c r="D33" s="461" t="str">
        <f>VLOOKUP(C33,'Sales Master'!B$3:D$530,2,)</f>
        <v>Carnation Milk 三花淡奶水</v>
      </c>
      <c r="E33" s="461"/>
      <c r="F33" s="461"/>
      <c r="G33" s="76">
        <v>12</v>
      </c>
      <c r="H33" s="85" t="str">
        <f>VLOOKUP(C33,'Sales Master'!$B$3:$F$2482,5,0)</f>
        <v>405 GM/ Can罐</v>
      </c>
      <c r="I33" s="497" t="str">
        <f>VLOOKUP(C33,'Sales Master'!$B$3:$E$2482,4,0)</f>
        <v>Threeflower</v>
      </c>
      <c r="J33" s="497"/>
      <c r="K33" s="99">
        <f>VLOOKUP(C33,'Sales Master'!B$3:N$530,13,0)</f>
        <v>1.3</v>
      </c>
      <c r="L33" s="84">
        <f t="shared" ref="L33:L39" si="2">K33*G33</f>
        <v>15.600000000000001</v>
      </c>
      <c r="M33" s="65"/>
    </row>
    <row r="34" spans="2:13" ht="20.149999999999999" customHeight="1" x14ac:dyDescent="0.45">
      <c r="B34" s="29"/>
      <c r="C34" s="212" t="s">
        <v>2258</v>
      </c>
      <c r="D34" s="461" t="str">
        <f>VLOOKUP(C34,'Sales Master'!B$3:D$530,2,)</f>
        <v>Longan in Syrup 龙眼</v>
      </c>
      <c r="E34" s="461"/>
      <c r="F34" s="461"/>
      <c r="G34" s="76">
        <v>1</v>
      </c>
      <c r="H34" s="85" t="str">
        <f>VLOOKUP(C34,'Sales Master'!$B$3:$F$2482,5,0)</f>
        <v>(565gm x 12)/ Ctn箱</v>
      </c>
      <c r="I34" s="497" t="str">
        <f>VLOOKUP(C34,'Sales Master'!$B$3:$E$2482,4,0)</f>
        <v>GoldenBoy</v>
      </c>
      <c r="J34" s="497"/>
      <c r="K34" s="99">
        <f>VLOOKUP(C34,'Sales Master'!B$3:N$530,13,0)</f>
        <v>26</v>
      </c>
      <c r="L34" s="84">
        <f t="shared" ref="L34" si="3">K34*G34</f>
        <v>26</v>
      </c>
      <c r="M34" s="65"/>
    </row>
    <row r="35" spans="2:13" ht="20.149999999999999" customHeight="1" x14ac:dyDescent="0.45">
      <c r="B35" s="29"/>
      <c r="C35" s="212" t="s">
        <v>1011</v>
      </c>
      <c r="D35" s="461" t="str">
        <f>VLOOKUP(C35,'Sales Master'!B$3:D$530,2,)</f>
        <v>Brown Sugar 黑糖</v>
      </c>
      <c r="E35" s="461"/>
      <c r="F35" s="461"/>
      <c r="G35" s="76">
        <v>1</v>
      </c>
      <c r="H35" s="85" t="str">
        <f>VLOOKUP(C35,'Sales Master'!$B$3:$F$2482,5,0)</f>
        <v>6 KG</v>
      </c>
      <c r="I35" s="497" t="str">
        <f>VLOOKUP(C35,'Sales Master'!$B$3:$E$2482,4,0)</f>
        <v>Star</v>
      </c>
      <c r="J35" s="497"/>
      <c r="K35" s="99">
        <f>VLOOKUP(C35,'Sales Master'!B$3:N$530,13,0)</f>
        <v>16.5</v>
      </c>
      <c r="L35" s="84">
        <f t="shared" si="2"/>
        <v>16.5</v>
      </c>
      <c r="M35" s="65"/>
    </row>
    <row r="36" spans="2:13" ht="20.149999999999999" customHeight="1" x14ac:dyDescent="0.45">
      <c r="B36" s="29"/>
      <c r="C36" s="212" t="s">
        <v>1014</v>
      </c>
      <c r="D36" s="461" t="str">
        <f>VLOOKUP(C36,'Sales Master'!B$3:D$530,2,)</f>
        <v>Fine Sugar 白糖</v>
      </c>
      <c r="E36" s="461"/>
      <c r="F36" s="461"/>
      <c r="G36" s="76">
        <v>2</v>
      </c>
      <c r="H36" s="85" t="str">
        <f>VLOOKUP(C36,'Sales Master'!$B$3:$F$2482,5,0)</f>
        <v>25 KGS</v>
      </c>
      <c r="I36" s="497" t="str">
        <f>VLOOKUP(C36,'Sales Master'!$B$3:$E$2482,4,0)</f>
        <v>MITR PHOL/ 蜜朋</v>
      </c>
      <c r="J36" s="497"/>
      <c r="K36" s="99">
        <f>VLOOKUP(C36,'Sales Master'!B$3:N$530,13,0)</f>
        <v>31.5</v>
      </c>
      <c r="L36" s="84">
        <f t="shared" si="2"/>
        <v>63</v>
      </c>
      <c r="M36" s="65"/>
    </row>
    <row r="37" spans="2:13" ht="20.149999999999999" customHeight="1" x14ac:dyDescent="0.45">
      <c r="B37" s="29"/>
      <c r="C37" s="212" t="s">
        <v>1028</v>
      </c>
      <c r="D37" s="461" t="str">
        <f>VLOOKUP(C37,'Sales Master'!B$3:D$530,2,)</f>
        <v>Sweet Potato 番薯</v>
      </c>
      <c r="E37" s="461"/>
      <c r="F37" s="461"/>
      <c r="G37" s="76">
        <v>12</v>
      </c>
      <c r="H37" s="85" t="str">
        <f>VLOOKUP(C37,'Sales Master'!$B$3:$F$2482,5,0)</f>
        <v>1 KG</v>
      </c>
      <c r="I37" s="497" t="str">
        <f>VLOOKUP(C37,'Sales Master'!$B$3:$E$2482,4,0)</f>
        <v>-</v>
      </c>
      <c r="J37" s="497"/>
      <c r="K37" s="99">
        <f>VLOOKUP(C37,'Sales Master'!B$3:N$530,13,0)</f>
        <v>2.7</v>
      </c>
      <c r="L37" s="84">
        <f t="shared" si="2"/>
        <v>32.400000000000006</v>
      </c>
      <c r="M37" s="65"/>
    </row>
    <row r="38" spans="2:13" ht="20.149999999999999" customHeight="1" x14ac:dyDescent="0.45">
      <c r="B38" s="29"/>
      <c r="C38" s="212" t="s">
        <v>1030</v>
      </c>
      <c r="D38" s="461" t="str">
        <f>VLOOKUP(C38,'Sales Master'!B$3:D$530,2,)</f>
        <v>Yam 芋头</v>
      </c>
      <c r="E38" s="461"/>
      <c r="F38" s="461"/>
      <c r="G38" s="76">
        <v>3.4</v>
      </c>
      <c r="H38" s="85" t="str">
        <f>VLOOKUP(C38,'Sales Master'!$B$3:$F$2482,5,0)</f>
        <v>1 KG</v>
      </c>
      <c r="I38" s="497" t="str">
        <f>VLOOKUP(C38,'Sales Master'!$B$3:$E$2482,4,0)</f>
        <v>Thailand</v>
      </c>
      <c r="J38" s="497"/>
      <c r="K38" s="99">
        <f>VLOOKUP(C38,'Sales Master'!B$3:N$530,13,0)</f>
        <v>5.5</v>
      </c>
      <c r="L38" s="84">
        <f t="shared" si="2"/>
        <v>18.7</v>
      </c>
      <c r="M38" s="65"/>
    </row>
    <row r="39" spans="2:13" ht="20.149999999999999" customHeight="1" x14ac:dyDescent="0.45">
      <c r="B39" s="29"/>
      <c r="C39" s="212" t="s">
        <v>1041</v>
      </c>
      <c r="D39" s="492" t="str">
        <f>VLOOKUP(C39,'Sales Master'!B$3:D$530,2,)</f>
        <v>Food Coloring - Liquid 颜色水</v>
      </c>
      <c r="E39" s="492"/>
      <c r="F39" s="492"/>
      <c r="G39" s="76">
        <v>1</v>
      </c>
      <c r="H39" s="85" t="str">
        <f>VLOOKUP(C39,'Sales Master'!$B$3:$F$2482,5,0)</f>
        <v>500 ML/ Btl支</v>
      </c>
      <c r="I39" s="497" t="str">
        <f>VLOOKUP(C39,'Sales Master'!$B$3:$E$2482,4,0)</f>
        <v>Red/红</v>
      </c>
      <c r="J39" s="497"/>
      <c r="K39" s="99">
        <f>VLOOKUP(C39,'Sales Master'!B$3:N$530,13,0)</f>
        <v>2.5</v>
      </c>
      <c r="L39" s="84">
        <f t="shared" si="2"/>
        <v>2.5</v>
      </c>
      <c r="M39" s="65"/>
    </row>
    <row r="40" spans="2:13" ht="20.149999999999999" customHeight="1" x14ac:dyDescent="0.45">
      <c r="B40" s="29"/>
      <c r="C40" s="212"/>
      <c r="G40" s="76"/>
      <c r="H40" s="85"/>
      <c r="I40" s="208"/>
      <c r="J40" s="208"/>
      <c r="K40" s="99"/>
      <c r="L40" s="84"/>
      <c r="M40" s="65"/>
    </row>
    <row r="41" spans="2:13" ht="20.149999999999999" customHeight="1" x14ac:dyDescent="0.45">
      <c r="B41" s="104"/>
      <c r="C41" s="129"/>
      <c r="D41" s="45"/>
      <c r="E41" s="45"/>
      <c r="F41" s="45"/>
      <c r="G41" s="129"/>
      <c r="H41" s="124"/>
      <c r="I41" s="124"/>
      <c r="J41" s="124"/>
      <c r="K41" s="108"/>
      <c r="L41" s="107"/>
      <c r="M41" s="65"/>
    </row>
    <row r="42" spans="2:13" ht="20.149999999999999" customHeight="1" thickBot="1" x14ac:dyDescent="0.5">
      <c r="B42" s="36"/>
      <c r="G42" s="65"/>
      <c r="L42" s="37"/>
    </row>
    <row r="43" spans="2:13" ht="20.149999999999999" customHeight="1" x14ac:dyDescent="0.45">
      <c r="B43" s="10" t="s">
        <v>16</v>
      </c>
      <c r="C43" s="6"/>
      <c r="D43" s="6"/>
      <c r="E43" s="6"/>
      <c r="F43" s="6"/>
      <c r="G43" s="135"/>
      <c r="H43" s="6"/>
      <c r="I43" s="6"/>
      <c r="J43" s="455" t="s">
        <v>13</v>
      </c>
      <c r="K43" s="456"/>
      <c r="L43" s="38">
        <f>SUM(L18:L42)</f>
        <v>410.2</v>
      </c>
      <c r="M43" s="63">
        <f>SUM(P18:P42)</f>
        <v>0</v>
      </c>
    </row>
    <row r="44" spans="2:13" ht="20.149999999999999" customHeight="1" x14ac:dyDescent="0.45">
      <c r="B44" s="10" t="s">
        <v>17</v>
      </c>
      <c r="C44" s="6"/>
      <c r="D44" s="6"/>
      <c r="E44" s="6"/>
      <c r="F44" s="6"/>
      <c r="G44" s="135"/>
      <c r="H44" s="6"/>
      <c r="I44" s="6"/>
      <c r="J44" s="39" t="s">
        <v>20</v>
      </c>
      <c r="K44" s="40"/>
      <c r="L44" s="41">
        <v>0</v>
      </c>
    </row>
    <row r="45" spans="2:13" ht="20.149999999999999" customHeight="1" x14ac:dyDescent="0.45">
      <c r="B45" s="10" t="s">
        <v>18</v>
      </c>
      <c r="C45" s="6"/>
      <c r="D45" s="6"/>
      <c r="E45" s="6"/>
      <c r="F45" s="6"/>
      <c r="G45" s="6"/>
      <c r="H45" s="6"/>
      <c r="I45" s="6"/>
      <c r="J45" s="457" t="s">
        <v>19</v>
      </c>
      <c r="K45" s="458"/>
      <c r="L45" s="41">
        <f>L43-L44</f>
        <v>410.2</v>
      </c>
    </row>
    <row r="46" spans="2:13" ht="20.149999999999999" customHeight="1" x14ac:dyDescent="0.45">
      <c r="B46" s="10" t="s">
        <v>22</v>
      </c>
      <c r="C46" s="6"/>
      <c r="D46" s="6"/>
      <c r="E46" s="6"/>
      <c r="F46" s="6"/>
      <c r="G46" s="6"/>
      <c r="H46" s="6"/>
      <c r="I46" s="6"/>
      <c r="J46" s="102" t="s">
        <v>15</v>
      </c>
      <c r="K46" s="103">
        <f>'Sales Master'!$B$1</f>
        <v>0.09</v>
      </c>
      <c r="L46" s="42">
        <f>L45*K46</f>
        <v>36.917999999999999</v>
      </c>
    </row>
    <row r="47" spans="2:13" ht="20.149999999999999" customHeight="1" thickBot="1" x14ac:dyDescent="0.5">
      <c r="B47" s="10" t="s">
        <v>700</v>
      </c>
      <c r="C47" s="6"/>
      <c r="D47" s="6"/>
      <c r="E47" s="6"/>
      <c r="F47" s="6"/>
      <c r="G47" s="6" t="s">
        <v>460</v>
      </c>
      <c r="H47" s="6"/>
      <c r="I47" s="6"/>
      <c r="J47" s="459" t="s">
        <v>21</v>
      </c>
      <c r="K47" s="460"/>
      <c r="L47" s="43">
        <f>L45+L46</f>
        <v>447.11799999999999</v>
      </c>
    </row>
    <row r="48" spans="2:13" ht="20.149999999999999" customHeight="1" x14ac:dyDescent="0.45">
      <c r="B48" s="10" t="s">
        <v>24</v>
      </c>
      <c r="C48" s="6"/>
      <c r="D48" s="6"/>
      <c r="E48" s="6"/>
      <c r="F48" s="6"/>
      <c r="G48" s="6"/>
      <c r="H48" s="6"/>
      <c r="I48" s="6"/>
      <c r="L48" s="37"/>
    </row>
    <row r="49" spans="2:12" ht="20.149999999999999" customHeight="1" x14ac:dyDescent="0.45">
      <c r="B49" s="144" t="s">
        <v>690</v>
      </c>
      <c r="L49" s="37"/>
    </row>
    <row r="50" spans="2:12" ht="20.149999999999999" customHeight="1" x14ac:dyDescent="0.45">
      <c r="B50" s="144"/>
      <c r="L50" s="37"/>
    </row>
    <row r="51" spans="2:12" ht="20.149999999999999" customHeight="1" x14ac:dyDescent="0.45">
      <c r="B51" s="144"/>
      <c r="L51" s="37"/>
    </row>
    <row r="52" spans="2:12" ht="20.149999999999999" customHeight="1" x14ac:dyDescent="0.45">
      <c r="B52" s="144"/>
      <c r="L52" s="37"/>
    </row>
    <row r="53" spans="2:12" ht="20.149999999999999" customHeight="1" x14ac:dyDescent="0.45">
      <c r="B53" s="44"/>
      <c r="C53" s="45"/>
      <c r="D53" s="45"/>
      <c r="J53" s="45"/>
      <c r="K53" s="45"/>
      <c r="L53" s="46"/>
    </row>
    <row r="54" spans="2:12" ht="20.149999999999999" customHeight="1" x14ac:dyDescent="0.45">
      <c r="B54" s="36" t="s">
        <v>25</v>
      </c>
      <c r="J54" s="19" t="s">
        <v>26</v>
      </c>
      <c r="L54" s="37"/>
    </row>
    <row r="55" spans="2:12" ht="19" thickBot="1" x14ac:dyDescent="0.5"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9"/>
    </row>
    <row r="56" spans="2:12" ht="20.5" x14ac:dyDescent="0.45">
      <c r="F56" s="201"/>
    </row>
    <row r="1048536" spans="4:6" x14ac:dyDescent="0.45">
      <c r="D1048536" s="461"/>
      <c r="E1048536" s="461"/>
      <c r="F1048536" s="461"/>
    </row>
  </sheetData>
  <mergeCells count="62">
    <mergeCell ref="D36:F36"/>
    <mergeCell ref="D39:F39"/>
    <mergeCell ref="I33:J33"/>
    <mergeCell ref="I35:J35"/>
    <mergeCell ref="I36:J36"/>
    <mergeCell ref="I39:J39"/>
    <mergeCell ref="I17:J17"/>
    <mergeCell ref="D17:F17"/>
    <mergeCell ref="I18:J18"/>
    <mergeCell ref="I19:J19"/>
    <mergeCell ref="D18:F18"/>
    <mergeCell ref="D19:F19"/>
    <mergeCell ref="D31:F31"/>
    <mergeCell ref="I31:J31"/>
    <mergeCell ref="D34:F34"/>
    <mergeCell ref="I34:J34"/>
    <mergeCell ref="D1048536:F1048536"/>
    <mergeCell ref="J47:K47"/>
    <mergeCell ref="J43:K43"/>
    <mergeCell ref="J45:K45"/>
    <mergeCell ref="D32:F32"/>
    <mergeCell ref="I32:J32"/>
    <mergeCell ref="D37:F37"/>
    <mergeCell ref="D38:F38"/>
    <mergeCell ref="I37:J37"/>
    <mergeCell ref="I38:J38"/>
    <mergeCell ref="D33:F33"/>
    <mergeCell ref="D35:F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6:F26"/>
    <mergeCell ref="D27:F27"/>
    <mergeCell ref="I26:J26"/>
    <mergeCell ref="I27:J27"/>
    <mergeCell ref="D20:F20"/>
    <mergeCell ref="I20:J20"/>
    <mergeCell ref="D21:F21"/>
    <mergeCell ref="I21:J21"/>
    <mergeCell ref="D25:F25"/>
    <mergeCell ref="I25:J25"/>
    <mergeCell ref="D24:F24"/>
    <mergeCell ref="I24:J24"/>
    <mergeCell ref="D22:F22"/>
    <mergeCell ref="I22:J22"/>
    <mergeCell ref="D23:F23"/>
    <mergeCell ref="I23:J23"/>
    <mergeCell ref="D29:F29"/>
    <mergeCell ref="D28:F28"/>
    <mergeCell ref="I29:J29"/>
    <mergeCell ref="I28:J28"/>
    <mergeCell ref="D30:F30"/>
    <mergeCell ref="I30:J30"/>
  </mergeCells>
  <conditionalFormatting sqref="C22 C24:C30">
    <cfRule type="duplicateValues" dxfId="173" priority="2700"/>
  </conditionalFormatting>
  <pageMargins left="0.51181102362204722" right="0.39370078740157483" top="0" bottom="0" header="0" footer="0"/>
  <pageSetup paperSize="9" scale="74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R43"/>
  <sheetViews>
    <sheetView topLeftCell="A15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7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7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7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7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7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7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7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</v>
      </c>
      <c r="J10" s="24" t="s">
        <v>27</v>
      </c>
      <c r="K10" s="493">
        <v>202501081</v>
      </c>
      <c r="L10" s="494"/>
    </row>
    <row r="11" spans="2:17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        735. Pasir Ris West Plaza.                                  Pasir Ris Street 72 #01-336.                               Singapore 510735          </v>
      </c>
      <c r="G11" s="481"/>
      <c r="H11" s="482"/>
      <c r="J11" s="26" t="s">
        <v>9</v>
      </c>
      <c r="K11" s="495">
        <v>45660</v>
      </c>
      <c r="L11" s="496"/>
    </row>
    <row r="12" spans="2:17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7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212"/>
      <c r="O13" s="461"/>
      <c r="P13" s="461"/>
      <c r="Q13" s="461"/>
    </row>
    <row r="14" spans="2:17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7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  <c r="N15" s="19" t="s">
        <v>1971</v>
      </c>
      <c r="O15" s="19" t="s">
        <v>1972</v>
      </c>
    </row>
    <row r="16" spans="2:17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8" ht="20.149999999999999" customHeight="1" x14ac:dyDescent="0.45">
      <c r="B18" s="29"/>
      <c r="C18" s="212" t="s">
        <v>1336</v>
      </c>
      <c r="D18" s="461" t="str">
        <f>VLOOKUP(C18,'Sales Master'!B$3:D$530,2,)</f>
        <v>Passion Fruit Puree 百香果酱</v>
      </c>
      <c r="E18" s="461"/>
      <c r="F18" s="461"/>
      <c r="G18" s="17">
        <v>2</v>
      </c>
      <c r="H18" s="186" t="str">
        <f>VLOOKUP(C18,'Sales Master'!$B$3:$F$2413,5,0)</f>
        <v>1 KG/ Box盒</v>
      </c>
      <c r="I18" s="497" t="str">
        <f>VLOOKUP(C18,'Sales Master'!$B$3:$E$2413,4,0)</f>
        <v>-</v>
      </c>
      <c r="J18" s="497"/>
      <c r="K18" s="30">
        <f>VLOOKUP(C18,'Sales Master'!$B$3:$BH$530,59,0)</f>
        <v>8.6999999999999993</v>
      </c>
      <c r="L18" s="64">
        <f>K18*G18</f>
        <v>17.399999999999999</v>
      </c>
      <c r="N18" s="145">
        <f>VLOOKUP(C18,'Sales Master'!$B$3:$DA$2272,104,0)</f>
        <v>4.8</v>
      </c>
      <c r="O18" s="145">
        <f>K18-N18</f>
        <v>3.8999999999999995</v>
      </c>
      <c r="P18" s="145">
        <f>O18*G18</f>
        <v>7.7999999999999989</v>
      </c>
      <c r="R18" s="19">
        <v>10</v>
      </c>
    </row>
    <row r="19" spans="2:18" ht="20.149999999999999" customHeight="1" x14ac:dyDescent="0.45">
      <c r="B19" s="29"/>
      <c r="C19" s="212" t="s">
        <v>1810</v>
      </c>
      <c r="D19" s="461" t="str">
        <f>VLOOKUP(C19,'Sales Master'!B$3:D$530,2,)</f>
        <v>Ginseng Roots 洋参须</v>
      </c>
      <c r="E19" s="461"/>
      <c r="F19" s="461"/>
      <c r="G19" s="17">
        <v>2</v>
      </c>
      <c r="H19" s="186" t="str">
        <f>VLOOKUP(C19,'Sales Master'!$B$3:$F$2413,5,0)</f>
        <v>60gm x 10PKT/ Bag</v>
      </c>
      <c r="I19" s="497" t="str">
        <f>VLOOKUP(C19,'Sales Master'!$B$3:$E$2413,4,0)</f>
        <v>-</v>
      </c>
      <c r="J19" s="497"/>
      <c r="K19" s="30">
        <f>VLOOKUP(C19,'Sales Master'!$B$3:$BH$530,59,0)</f>
        <v>38</v>
      </c>
      <c r="L19" s="64">
        <f>K19*G19</f>
        <v>76</v>
      </c>
      <c r="N19" s="145">
        <f>VLOOKUP(C19,'Sales Master'!$B$3:$DA$2272,104,0)</f>
        <v>30</v>
      </c>
      <c r="O19" s="145">
        <f>K19-N19</f>
        <v>8</v>
      </c>
      <c r="P19" s="145">
        <f>O19*G19</f>
        <v>16</v>
      </c>
      <c r="Q19" s="170"/>
    </row>
    <row r="20" spans="2:18" ht="20.149999999999999" customHeight="1" x14ac:dyDescent="0.45">
      <c r="B20" s="29"/>
      <c r="C20" s="212" t="s">
        <v>949</v>
      </c>
      <c r="D20" s="461" t="str">
        <f>VLOOKUP(C20,'Sales Master'!B$3:D$530,2,)</f>
        <v>Nata 椰果芊 15mm</v>
      </c>
      <c r="E20" s="461"/>
      <c r="F20" s="461"/>
      <c r="G20" s="17">
        <v>1</v>
      </c>
      <c r="H20" s="186" t="str">
        <f>VLOOKUP(C20,'Sales Master'!$B$3:$F$2413,5,0)</f>
        <v>1 Can X A10 /罐</v>
      </c>
      <c r="I20" s="497" t="str">
        <f>VLOOKUP(C20,'Sales Master'!$B$3:$E$2413,4,0)</f>
        <v>Chefs</v>
      </c>
      <c r="J20" s="497"/>
      <c r="K20" s="30">
        <f>VLOOKUP(C20,'Sales Master'!$B$3:$BH$530,59,0)</f>
        <v>9.5</v>
      </c>
      <c r="L20" s="64">
        <f t="shared" ref="L20:L21" si="0">K20*G20</f>
        <v>9.5</v>
      </c>
      <c r="N20" s="145">
        <f>VLOOKUP(C20,'Sales Master'!$B$3:$DA$2272,104,0)</f>
        <v>7.75</v>
      </c>
      <c r="O20" s="145">
        <f t="shared" ref="O20:O21" si="1">K20-N20</f>
        <v>1.75</v>
      </c>
      <c r="P20" s="145">
        <f t="shared" ref="P20:P21" si="2">O20*G20</f>
        <v>1.75</v>
      </c>
    </row>
    <row r="21" spans="2:18" ht="20.149999999999999" customHeight="1" x14ac:dyDescent="0.45">
      <c r="B21" s="29"/>
      <c r="C21" s="212" t="s">
        <v>953</v>
      </c>
      <c r="D21" s="461" t="str">
        <f>VLOOKUP(C21,'Sales Master'!B$3:D$530,2,)</f>
        <v>Aloe Vera 芦荟 10mm</v>
      </c>
      <c r="E21" s="461"/>
      <c r="F21" s="461"/>
      <c r="G21" s="17">
        <v>1</v>
      </c>
      <c r="H21" s="186" t="str">
        <f>VLOOKUP(C21,'Sales Master'!$B$3:$F$2413,5,0)</f>
        <v>1 Can X A10</v>
      </c>
      <c r="I21" s="497" t="str">
        <f>VLOOKUP(C21,'Sales Master'!$B$3:$E$2413,4,0)</f>
        <v>Chefs</v>
      </c>
      <c r="J21" s="497"/>
      <c r="K21" s="30">
        <f>VLOOKUP(C21,'Sales Master'!$B$3:$BH$530,59,0)</f>
        <v>10</v>
      </c>
      <c r="L21" s="64">
        <f t="shared" si="0"/>
        <v>10</v>
      </c>
      <c r="N21" s="145">
        <f>VLOOKUP(C21,'Sales Master'!$B$3:$DA$2272,104,0)</f>
        <v>7</v>
      </c>
      <c r="O21" s="145">
        <f t="shared" si="1"/>
        <v>3</v>
      </c>
      <c r="P21" s="145">
        <f t="shared" si="2"/>
        <v>3</v>
      </c>
      <c r="Q21" s="170"/>
    </row>
    <row r="22" spans="2:18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N22" s="145"/>
      <c r="O22" s="145"/>
      <c r="P22" s="145"/>
      <c r="Q22" s="170"/>
    </row>
    <row r="23" spans="2:18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8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</row>
    <row r="25" spans="2:18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8" ht="20.149999999999999" customHeight="1" x14ac:dyDescent="0.45">
      <c r="B26" s="29"/>
      <c r="D26" s="67"/>
      <c r="E26" s="67"/>
      <c r="F26" s="67"/>
      <c r="G26" s="17"/>
      <c r="H26" s="186"/>
      <c r="I26" s="497"/>
      <c r="J26" s="497"/>
      <c r="K26" s="30"/>
      <c r="L26" s="64"/>
      <c r="N26" s="145"/>
      <c r="O26" s="145"/>
      <c r="P26" s="145"/>
      <c r="Q26" s="170"/>
    </row>
    <row r="27" spans="2:18" ht="20.149999999999999" customHeight="1" x14ac:dyDescent="0.45">
      <c r="B27" s="29"/>
      <c r="C27" s="17"/>
      <c r="D27" s="498"/>
      <c r="E27" s="498"/>
      <c r="F27" s="498"/>
      <c r="G27" s="17"/>
      <c r="H27" s="186"/>
      <c r="I27" s="497"/>
      <c r="J27" s="497"/>
      <c r="K27" s="30"/>
      <c r="L27" s="64"/>
      <c r="N27" s="145"/>
      <c r="O27" s="145"/>
      <c r="P27" s="145"/>
      <c r="Q27" s="170"/>
    </row>
    <row r="28" spans="2:18" ht="20.149999999999999" customHeight="1" x14ac:dyDescent="0.45">
      <c r="B28" s="29"/>
      <c r="C28" s="17"/>
      <c r="D28" s="498"/>
      <c r="E28" s="498"/>
      <c r="F28" s="498"/>
      <c r="G28" s="17"/>
      <c r="H28" s="186"/>
      <c r="I28" s="497"/>
      <c r="J28" s="497"/>
      <c r="K28" s="30"/>
      <c r="L28" s="64"/>
      <c r="N28" s="145"/>
      <c r="O28" s="145"/>
      <c r="P28" s="145"/>
      <c r="Q28" s="170"/>
    </row>
    <row r="29" spans="2:18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18" ht="20.149999999999999" customHeight="1" thickBot="1" x14ac:dyDescent="0.5">
      <c r="B30" s="36"/>
      <c r="L30" s="37"/>
    </row>
    <row r="31" spans="2:18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SUM(L16:L29)</f>
        <v>112.9</v>
      </c>
      <c r="M31" s="63">
        <f>SUM(P18:P29)-L31*0.04</f>
        <v>24.033999999999999</v>
      </c>
      <c r="N31" s="133">
        <f>M31/L31</f>
        <v>0.21287865367581929</v>
      </c>
    </row>
    <row r="32" spans="2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112.9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10.161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123.06100000000001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3:Q13"/>
    <mergeCell ref="D19:F19"/>
    <mergeCell ref="I19:J19"/>
    <mergeCell ref="D21:F21"/>
    <mergeCell ref="I21:J21"/>
    <mergeCell ref="D18:F18"/>
    <mergeCell ref="I18:J18"/>
    <mergeCell ref="D17:F17"/>
    <mergeCell ref="I17:J17"/>
    <mergeCell ref="D20:F20"/>
    <mergeCell ref="I20:J20"/>
    <mergeCell ref="J35:K35"/>
    <mergeCell ref="I22:J22"/>
    <mergeCell ref="D27:F27"/>
    <mergeCell ref="I27:J27"/>
    <mergeCell ref="D28:F28"/>
    <mergeCell ref="I28:J28"/>
    <mergeCell ref="D29:F29"/>
    <mergeCell ref="J31:K31"/>
    <mergeCell ref="J33:K33"/>
    <mergeCell ref="D22:F22"/>
    <mergeCell ref="I26:J26"/>
    <mergeCell ref="D25:F25"/>
    <mergeCell ref="I25:J25"/>
    <mergeCell ref="D24:F24"/>
    <mergeCell ref="I24:J24"/>
    <mergeCell ref="D23:F23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9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</v>
      </c>
      <c r="J10" s="24" t="s">
        <v>27</v>
      </c>
      <c r="K10" s="493">
        <v>202405190</v>
      </c>
      <c r="L10" s="494"/>
    </row>
    <row r="11" spans="2:12" ht="20.149999999999999" customHeight="1" x14ac:dyDescent="0.45">
      <c r="B11" s="477" t="s">
        <v>380</v>
      </c>
      <c r="C11" s="478"/>
      <c r="D11" s="479"/>
      <c r="E11" s="25"/>
      <c r="F11" s="480" t="str">
        <f>VLOOKUP(H10,'Delivery Location'!A$4:N$460,2,0)</f>
        <v>S111 Pte Ltd                                              No 39, Greenwich Drive. #01-12  Blk 8, Tampines Logistics Hub  Singapore 533863.</v>
      </c>
      <c r="G11" s="481"/>
      <c r="H11" s="482"/>
      <c r="J11" s="26" t="s">
        <v>9</v>
      </c>
      <c r="K11" s="495">
        <v>45420</v>
      </c>
      <c r="L11" s="496"/>
    </row>
    <row r="12" spans="2:12" ht="20.149999999999999" customHeight="1" x14ac:dyDescent="0.45">
      <c r="B12" s="488" t="s">
        <v>381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559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 t="s">
        <v>560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382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53</v>
      </c>
      <c r="I17" s="470" t="s">
        <v>406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739</v>
      </c>
      <c r="D18" s="461" t="str">
        <f>VLOOKUP(C18,'Sales Master'!B$3:D$530,2,)</f>
        <v>Coconut Sugar Syrup 椰糖浆</v>
      </c>
      <c r="E18" s="461"/>
      <c r="F18" s="461"/>
      <c r="G18" s="76">
        <v>1</v>
      </c>
      <c r="H18" s="186" t="str">
        <f>VLOOKUP(C18,'Sales Master'!$B$3:$E$530,4,0)</f>
        <v>DO!</v>
      </c>
      <c r="I18" s="497" t="str">
        <f>VLOOKUP(C18,'Sales Master'!$B$3:F$530,5,0)</f>
        <v>4 KG/ Btl支</v>
      </c>
      <c r="J18" s="497"/>
      <c r="K18" s="80">
        <f>VLOOKUP(C18,'Sales Master'!B$3:S$530,18,0)</f>
        <v>0</v>
      </c>
      <c r="L18" s="64">
        <f>K18*G18</f>
        <v>0</v>
      </c>
      <c r="M18" s="65"/>
      <c r="N18" s="145">
        <f>VLOOKUP(C18,'Sales Master'!$B$3:$DA$2272,104,0)</f>
        <v>8.89</v>
      </c>
      <c r="O18" s="145">
        <f>K18-N18</f>
        <v>-8.89</v>
      </c>
      <c r="P18" s="145">
        <f>O18*G18</f>
        <v>-8.89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491"/>
      <c r="J19" s="491"/>
      <c r="K19" s="8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8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8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91"/>
      <c r="J26" s="491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91"/>
      <c r="J28" s="491"/>
      <c r="K28" s="80"/>
      <c r="L28" s="64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SUM(L17:L28)</f>
        <v>0</v>
      </c>
      <c r="M31" s="63">
        <f>SUM(P18:P28)</f>
        <v>-8.89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3:F23"/>
    <mergeCell ref="I23:J23"/>
    <mergeCell ref="D24:F24"/>
    <mergeCell ref="I24:J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N42"/>
  <sheetViews>
    <sheetView topLeftCell="B12" zoomScaleNormal="100" workbookViewId="0">
      <selection activeCell="H32" sqref="H3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54296875" style="19" customWidth="1"/>
    <col min="9" max="9" width="1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200</v>
      </c>
      <c r="J10" s="68" t="s">
        <v>27</v>
      </c>
      <c r="K10" s="493">
        <v>202501057</v>
      </c>
      <c r="L10" s="494"/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Dim Sum                                     Block 118 Rivervale Drive,                  #02-15/16 Rivervale Plaza     Singapore 540118                              </v>
      </c>
      <c r="G11" s="481"/>
      <c r="H11" s="482"/>
      <c r="J11" s="69" t="s">
        <v>9</v>
      </c>
      <c r="K11" s="495">
        <v>45660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69" t="s">
        <v>10</v>
      </c>
      <c r="K13" s="463" t="s">
        <v>12</v>
      </c>
      <c r="L13" s="464"/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70" t="s">
        <v>11</v>
      </c>
      <c r="K15" s="468"/>
      <c r="L15" s="469"/>
      <c r="N15" s="173"/>
    </row>
    <row r="16" spans="2:14" ht="19" thickBot="1" x14ac:dyDescent="0.5">
      <c r="J16" s="71"/>
      <c r="N16" s="173"/>
    </row>
    <row r="17" spans="2:14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672</v>
      </c>
      <c r="I17" s="554" t="s">
        <v>673</v>
      </c>
      <c r="J17" s="555"/>
      <c r="K17" s="8" t="s">
        <v>5</v>
      </c>
      <c r="L17" s="9" t="s">
        <v>6</v>
      </c>
      <c r="M17" s="28"/>
      <c r="N17" s="173"/>
    </row>
    <row r="18" spans="2:14" ht="20.149999999999999" customHeight="1" x14ac:dyDescent="0.45">
      <c r="B18" s="29"/>
      <c r="C18" s="212" t="s">
        <v>1919</v>
      </c>
      <c r="D18" s="492" t="str">
        <f>VLOOKUP(C18,'Sales Master'!B$3:D$530,2,)</f>
        <v xml:space="preserve">Plain Flour 面粉 </v>
      </c>
      <c r="E18" s="492"/>
      <c r="F18" s="492"/>
      <c r="G18" s="17">
        <v>90</v>
      </c>
      <c r="H18" s="204" t="str">
        <f>VLOOKUP(C18,'Sales Master'!$B$3:$F$2481,5,0)</f>
        <v>1KG/ Pkt</v>
      </c>
      <c r="I18" s="497" t="str">
        <f>VLOOKUP(C18,'Sales Master'!$B$3:$E$2481,4,0)</f>
        <v>THREE EAGLE</v>
      </c>
      <c r="J18" s="497"/>
      <c r="K18" s="30">
        <f>VLOOKUP(C18,'Sales Master'!B$3:J$530,9,0)</f>
        <v>1.3</v>
      </c>
      <c r="L18" s="64">
        <f>K18*G18</f>
        <v>117</v>
      </c>
      <c r="M18" s="65"/>
      <c r="N18" s="173"/>
    </row>
    <row r="19" spans="2:14" ht="20.149999999999999" customHeight="1" x14ac:dyDescent="0.45">
      <c r="B19" s="29"/>
      <c r="C19" s="212" t="s">
        <v>849</v>
      </c>
      <c r="D19" s="492" t="str">
        <f>VLOOKUP(C19,'Sales Master'!B$3:D$530,2,)</f>
        <v>Green Bean 绿豆</v>
      </c>
      <c r="E19" s="492"/>
      <c r="F19" s="492"/>
      <c r="G19" s="17">
        <v>3</v>
      </c>
      <c r="H19" s="204" t="str">
        <f>VLOOKUP(C19,'Sales Master'!$B$3:$F$2481,5,0)</f>
        <v>5 KG</v>
      </c>
      <c r="I19" s="497" t="str">
        <f>VLOOKUP(C19,'Sales Master'!$B$3:$E$2481,4,0)</f>
        <v>-</v>
      </c>
      <c r="J19" s="497"/>
      <c r="K19" s="30">
        <f>VLOOKUP(C19,'Sales Master'!B$3:J$530,9,0)</f>
        <v>13</v>
      </c>
      <c r="L19" s="64">
        <f t="shared" ref="L19:L20" si="0">K19*G19</f>
        <v>39</v>
      </c>
      <c r="M19" s="65"/>
      <c r="N19" s="173"/>
    </row>
    <row r="20" spans="2:14" ht="20.149999999999999" customHeight="1" x14ac:dyDescent="0.45">
      <c r="B20" s="29"/>
      <c r="C20" s="212" t="s">
        <v>870</v>
      </c>
      <c r="D20" s="492" t="str">
        <f>VLOOKUP(C20,'Sales Master'!B$3:D$530,2,)</f>
        <v>Pearl Barley 薏米</v>
      </c>
      <c r="E20" s="492"/>
      <c r="F20" s="492"/>
      <c r="G20" s="17">
        <v>2</v>
      </c>
      <c r="H20" s="204" t="str">
        <f>VLOOKUP(C20,'Sales Master'!$B$3:$F$2481,5,0)</f>
        <v>5 KG</v>
      </c>
      <c r="I20" s="497" t="str">
        <f>VLOOKUP(C20,'Sales Master'!$B$3:$E$2481,4,0)</f>
        <v>-</v>
      </c>
      <c r="J20" s="497"/>
      <c r="K20" s="30">
        <f>VLOOKUP(C20,'Sales Master'!B$3:J$530,9,0)</f>
        <v>10</v>
      </c>
      <c r="L20" s="64">
        <f t="shared" si="0"/>
        <v>20</v>
      </c>
      <c r="M20" s="65"/>
      <c r="N20" s="173"/>
    </row>
    <row r="21" spans="2:14" ht="20.149999999999999" customHeight="1" x14ac:dyDescent="0.45">
      <c r="B21" s="29"/>
      <c r="C21" s="212"/>
      <c r="D21" s="461"/>
      <c r="E21" s="461"/>
      <c r="F21" s="461"/>
      <c r="G21" s="17"/>
      <c r="H21" s="204"/>
      <c r="I21" s="497"/>
      <c r="J21" s="497"/>
      <c r="K21" s="30"/>
      <c r="L21" s="64"/>
      <c r="M21" s="65"/>
      <c r="N21" s="173"/>
    </row>
    <row r="22" spans="2:14" ht="20.149999999999999" customHeight="1" x14ac:dyDescent="0.45">
      <c r="B22" s="29"/>
      <c r="C22" s="212"/>
      <c r="D22" s="461"/>
      <c r="E22" s="461"/>
      <c r="F22" s="461"/>
      <c r="G22" s="17"/>
      <c r="H22" s="204"/>
      <c r="I22" s="497"/>
      <c r="J22" s="497"/>
      <c r="K22" s="30"/>
      <c r="L22" s="64"/>
      <c r="M22" s="65"/>
      <c r="N22" s="173"/>
    </row>
    <row r="23" spans="2:14" ht="20.149999999999999" customHeight="1" x14ac:dyDescent="0.45">
      <c r="B23" s="29"/>
      <c r="C23" s="212"/>
      <c r="D23" s="461"/>
      <c r="E23" s="461"/>
      <c r="F23" s="461"/>
      <c r="G23" s="17"/>
      <c r="H23" s="204"/>
      <c r="I23" s="497"/>
      <c r="J23" s="497"/>
      <c r="K23" s="30"/>
      <c r="L23" s="64"/>
      <c r="M23" s="65"/>
      <c r="N23" s="173"/>
    </row>
    <row r="24" spans="2:14" ht="20.149999999999999" customHeight="1" x14ac:dyDescent="0.45">
      <c r="B24" s="29"/>
      <c r="C24" s="212"/>
      <c r="D24" s="461"/>
      <c r="E24" s="461"/>
      <c r="F24" s="461"/>
      <c r="G24" s="17"/>
      <c r="H24" s="204"/>
      <c r="I24" s="497"/>
      <c r="J24" s="497"/>
      <c r="K24" s="30"/>
      <c r="L24" s="64"/>
      <c r="M24" s="65"/>
      <c r="N24" s="173"/>
    </row>
    <row r="25" spans="2:14" ht="20.149999999999999" customHeight="1" x14ac:dyDescent="0.45">
      <c r="B25" s="29"/>
      <c r="C25" s="212"/>
      <c r="D25" s="461"/>
      <c r="E25" s="461"/>
      <c r="F25" s="461"/>
      <c r="G25" s="17"/>
      <c r="H25" s="204"/>
      <c r="I25" s="497"/>
      <c r="J25" s="497"/>
      <c r="K25" s="30"/>
      <c r="L25" s="64"/>
      <c r="M25" s="65"/>
      <c r="N25" s="173"/>
    </row>
    <row r="26" spans="2:14" ht="20.149999999999999" customHeight="1" x14ac:dyDescent="0.45">
      <c r="B26" s="66"/>
      <c r="C26" s="17"/>
      <c r="D26" s="461"/>
      <c r="E26" s="461"/>
      <c r="F26" s="461"/>
      <c r="G26" s="17"/>
      <c r="H26" s="56"/>
      <c r="I26" s="491"/>
      <c r="J26" s="491"/>
      <c r="K26" s="30"/>
      <c r="L26" s="64"/>
      <c r="M26" s="65"/>
      <c r="N26" s="173"/>
    </row>
    <row r="27" spans="2:14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64"/>
      <c r="M27" s="65"/>
      <c r="N27" s="173"/>
    </row>
    <row r="28" spans="2:14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524"/>
      <c r="J28" s="524"/>
      <c r="K28" s="34"/>
      <c r="L28" s="35"/>
      <c r="N28" s="173"/>
    </row>
    <row r="29" spans="2:14" ht="20.149999999999999" customHeight="1" thickBot="1" x14ac:dyDescent="0.5">
      <c r="B29" s="36"/>
      <c r="L29" s="37"/>
      <c r="N29" s="173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55" t="s">
        <v>13</v>
      </c>
      <c r="K30" s="456"/>
      <c r="L30" s="38">
        <f>SUM(L17:L27)</f>
        <v>176</v>
      </c>
      <c r="M30" s="63">
        <f>SUM(P18:P28)</f>
        <v>0</v>
      </c>
      <c r="N30" s="173"/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  <c r="N31" s="173"/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57" t="s">
        <v>19</v>
      </c>
      <c r="K32" s="458"/>
      <c r="L32" s="41">
        <f>L30-L31</f>
        <v>176</v>
      </c>
      <c r="N32" s="173"/>
    </row>
    <row r="33" spans="2:14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15.84</v>
      </c>
      <c r="N33" s="173"/>
    </row>
    <row r="34" spans="2:14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72"/>
      <c r="J34" s="459" t="s">
        <v>21</v>
      </c>
      <c r="K34" s="460"/>
      <c r="L34" s="43">
        <f>L32+L33</f>
        <v>191.84</v>
      </c>
    </row>
    <row r="35" spans="2:14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4" ht="20.149999999999999" customHeight="1" x14ac:dyDescent="0.45">
      <c r="B36" s="36"/>
      <c r="L36" s="37"/>
    </row>
    <row r="37" spans="2:14" ht="20.149999999999999" customHeight="1" x14ac:dyDescent="0.45">
      <c r="B37" s="36"/>
      <c r="L37" s="37"/>
    </row>
    <row r="38" spans="2:14" ht="20.149999999999999" customHeight="1" x14ac:dyDescent="0.45">
      <c r="B38" s="3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44"/>
      <c r="C40" s="45"/>
      <c r="D40" s="45"/>
      <c r="J40" s="73"/>
      <c r="K40" s="45"/>
      <c r="L40" s="46"/>
    </row>
    <row r="41" spans="2:14" ht="20.149999999999999" customHeight="1" x14ac:dyDescent="0.45">
      <c r="B41" s="36" t="s">
        <v>25</v>
      </c>
      <c r="J41" s="67" t="s">
        <v>26</v>
      </c>
      <c r="L41" s="37"/>
    </row>
    <row r="42" spans="2:14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</sheetData>
  <mergeCells count="40">
    <mergeCell ref="D25:F25"/>
    <mergeCell ref="I25:J25"/>
    <mergeCell ref="J34:K34"/>
    <mergeCell ref="D28:F28"/>
    <mergeCell ref="I28:J28"/>
    <mergeCell ref="J30:K30"/>
    <mergeCell ref="J32:K32"/>
    <mergeCell ref="D26:F26"/>
    <mergeCell ref="I26:J26"/>
    <mergeCell ref="D27:F27"/>
    <mergeCell ref="I27:J27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D24:F24"/>
    <mergeCell ref="I24:J24"/>
    <mergeCell ref="D23:F23"/>
    <mergeCell ref="D21:F21"/>
    <mergeCell ref="I23:J23"/>
    <mergeCell ref="I21:J21"/>
    <mergeCell ref="D19:F19"/>
    <mergeCell ref="D20:F20"/>
    <mergeCell ref="D22:F22"/>
    <mergeCell ref="I19:J19"/>
    <mergeCell ref="I20:J20"/>
    <mergeCell ref="I22:J2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14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</v>
      </c>
      <c r="J10" s="24" t="s">
        <v>27</v>
      </c>
      <c r="K10" s="493">
        <v>202008423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Sengkang General Community Hospital. 1 Anchorvale Street #01-21 S'pore 544835                                                                     </v>
      </c>
      <c r="G11" s="481"/>
      <c r="H11" s="482"/>
      <c r="J11" s="26" t="s">
        <v>9</v>
      </c>
      <c r="K11" s="504" t="s">
        <v>666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17" t="s">
        <v>305</v>
      </c>
      <c r="D18" s="461" t="e">
        <f>VLOOKUP(C18,'Sales Master'!B$3:D$530,2,)</f>
        <v>#N/A</v>
      </c>
      <c r="E18" s="461"/>
      <c r="F18" s="461"/>
      <c r="G18" s="17">
        <v>2</v>
      </c>
      <c r="H18" s="56" t="e">
        <f>VLOOKUP(C18,'Sales Master'!$B$3:$E$530,4,0)</f>
        <v>#N/A</v>
      </c>
      <c r="I18" s="473" t="e">
        <f>VLOOKUP(C18,'Sales Master'!$B$3:F$530,5,0)</f>
        <v>#N/A</v>
      </c>
      <c r="J18" s="473"/>
      <c r="K18" s="30" t="e">
        <f>VLOOKUP(C18,'Sales Master'!B$3:J$530,9,0)</f>
        <v>#N/A</v>
      </c>
      <c r="L18" s="64" t="e">
        <f>K18*G18</f>
        <v>#N/A</v>
      </c>
      <c r="M18" s="65"/>
      <c r="N18" s="145" t="e">
        <f>VLOOKUP(C18,'Sales Master'!$B$3:$DA$2272,104,0)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 t="s">
        <v>343</v>
      </c>
      <c r="D19" s="461" t="e">
        <f>VLOOKUP(C19,'Sales Master'!B$3:D$530,2,)</f>
        <v>#N/A</v>
      </c>
      <c r="E19" s="461"/>
      <c r="F19" s="461"/>
      <c r="G19" s="17">
        <v>2</v>
      </c>
      <c r="H19" s="56" t="e">
        <f>VLOOKUP(C19,'Sales Master'!$B$3:$E$530,4,0)</f>
        <v>#N/A</v>
      </c>
      <c r="I19" s="473" t="e">
        <f>VLOOKUP(C19,'Sales Master'!$B$3:F$530,5,0)</f>
        <v>#N/A</v>
      </c>
      <c r="J19" s="473"/>
      <c r="K19" s="30" t="e">
        <f>VLOOKUP(C19,'Sales Master'!B$3:J$530,9,0)</f>
        <v>#N/A</v>
      </c>
      <c r="L19" s="64" t="e">
        <f>K19*G19</f>
        <v>#N/A</v>
      </c>
      <c r="M19" s="65"/>
      <c r="N19" s="145" t="e">
        <f>VLOOKUP(C19,'Sales Master'!$B$3:$DA$2272,104,0)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473"/>
      <c r="J29" s="473"/>
      <c r="K29" s="3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473"/>
      <c r="J30" s="473"/>
      <c r="K30" s="3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473"/>
      <c r="J31" s="473"/>
      <c r="K31" s="30"/>
      <c r="L31" s="64"/>
      <c r="M31" s="65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56"/>
      <c r="I32" s="473"/>
      <c r="J32" s="473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73"/>
      <c r="J33" s="473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73"/>
      <c r="J34" s="473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73"/>
      <c r="J35" s="473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73"/>
      <c r="J36" s="473"/>
      <c r="K36" s="30"/>
      <c r="L36" s="31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690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8"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3"/>
  <sheetViews>
    <sheetView topLeftCell="B17" workbookViewId="0">
      <selection activeCell="C23" sqref="C23:K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7265625" style="19" customWidth="1"/>
    <col min="9" max="9" width="1.453125" style="19" customWidth="1"/>
    <col min="10" max="10" width="12.45312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206</v>
      </c>
      <c r="J10" s="24" t="s">
        <v>27</v>
      </c>
      <c r="K10" s="493">
        <v>202501110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Sengkang General Community Hospital. 110 Sengkang East Way, #01-21 Singapore 544886                                 Attn: Jane  HP: 80636808                                                    </v>
      </c>
      <c r="G11" s="481"/>
      <c r="H11" s="482"/>
      <c r="J11" s="26" t="s">
        <v>9</v>
      </c>
      <c r="K11" s="495">
        <v>45661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116" t="s">
        <v>29</v>
      </c>
      <c r="I17" s="528" t="s">
        <v>53</v>
      </c>
      <c r="J17" s="528"/>
      <c r="K17" s="117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799</v>
      </c>
      <c r="D18" s="492" t="str">
        <f>VLOOKUP(C18,'Sales Master'!B$3:D$530,2,)</f>
        <v>Sweet Potato Powder 番薯粉</v>
      </c>
      <c r="E18" s="492"/>
      <c r="F18" s="492"/>
      <c r="G18" s="17">
        <v>2</v>
      </c>
      <c r="H18" s="56" t="str">
        <f>VLOOKUP(C18,'Sales Master'!$B$3:$F$2413,5,0)</f>
        <v>3 kgs</v>
      </c>
      <c r="I18" s="491" t="str">
        <f>VLOOKUP(C18,'Sales Master'!$B$3:$E$2413,4,0)</f>
        <v>RE-PACK</v>
      </c>
      <c r="J18" s="491"/>
      <c r="K18" s="30">
        <f>VLOOKUP(C18,'Sales Master'!B$3:BA$530,52,0)</f>
        <v>10.5</v>
      </c>
      <c r="L18" s="64">
        <f t="shared" ref="L18:L19" si="0">K18*G18</f>
        <v>21</v>
      </c>
      <c r="M18" s="65"/>
      <c r="N18" s="145">
        <f>VLOOKUP(C18,'Sales Master'!$B$3:$DA$2272,104,0)</f>
        <v>7.4399999999999995</v>
      </c>
      <c r="O18" s="145">
        <f>K18-N18</f>
        <v>3.0600000000000005</v>
      </c>
      <c r="P18" s="145">
        <f>O18*G18</f>
        <v>6.120000000000001</v>
      </c>
    </row>
    <row r="19" spans="2:16" ht="20.149999999999999" customHeight="1" x14ac:dyDescent="0.45">
      <c r="B19" s="29"/>
      <c r="C19" s="212" t="s">
        <v>990</v>
      </c>
      <c r="D19" s="461" t="str">
        <f>VLOOKUP(C19,'Sales Master'!B$3:D$530,2,)</f>
        <v>Coconut Milk 椰浆</v>
      </c>
      <c r="E19" s="461"/>
      <c r="F19" s="461"/>
      <c r="G19" s="17">
        <v>2</v>
      </c>
      <c r="H19" s="56" t="str">
        <f>VLOOKUP(C19,'Sales Master'!$B$3:$F$2413,5,0)</f>
        <v>(1L x 12bag)/箱</v>
      </c>
      <c r="I19" s="491" t="str">
        <f>VLOOKUP(C19,'Sales Master'!$B$3:$E$2413,4,0)</f>
        <v>Kara UHT</v>
      </c>
      <c r="J19" s="491"/>
      <c r="K19" s="30">
        <f>VLOOKUP(C19,'Sales Master'!B$3:BA$530,52,0)</f>
        <v>42</v>
      </c>
      <c r="L19" s="64">
        <f t="shared" si="0"/>
        <v>84</v>
      </c>
      <c r="M19" s="65"/>
      <c r="N19" s="145">
        <f>VLOOKUP(C19,'Sales Master'!$B$3:$DA$2272,104,0)</f>
        <v>35.799999999999997</v>
      </c>
      <c r="O19" s="145">
        <f>K19-N19</f>
        <v>6.2000000000000028</v>
      </c>
      <c r="P19" s="145">
        <f>O19*G19</f>
        <v>12.400000000000006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56"/>
      <c r="I20" s="491"/>
      <c r="J20" s="491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91"/>
      <c r="J21" s="491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91"/>
      <c r="J22" s="491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49" t="s">
        <v>2317</v>
      </c>
      <c r="D23" s="403"/>
      <c r="E23" s="403"/>
      <c r="F23" s="403"/>
      <c r="G23" s="76"/>
      <c r="H23" s="186"/>
      <c r="I23" s="497"/>
      <c r="J23" s="497"/>
      <c r="K23" s="19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 t="s">
        <v>990</v>
      </c>
      <c r="D24" s="501" t="str">
        <f>VLOOKUP(C24,'[3]Sales Master'!B$3:D$663,2,0)</f>
        <v>Coconut Milk 椰浆</v>
      </c>
      <c r="E24" s="501"/>
      <c r="F24" s="501"/>
      <c r="G24" s="17">
        <v>1</v>
      </c>
      <c r="H24" s="186" t="str">
        <f>VLOOKUP(C24,'[3]Sales Master'!B$3:F$955,5,0)</f>
        <v>(1L x 12bag)/箱</v>
      </c>
      <c r="I24" s="497" t="str">
        <f>VLOOKUP(C24,'[3]Sales Master'!B$3:E$955,4,0)</f>
        <v>Kara UHT</v>
      </c>
      <c r="J24" s="497"/>
      <c r="K24" s="190">
        <v>48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30"/>
      <c r="H25" s="56"/>
      <c r="I25" s="491"/>
      <c r="J25" s="491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56"/>
      <c r="I26" s="491"/>
      <c r="J26" s="491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31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SUM(L17:L28)</f>
        <v>105</v>
      </c>
      <c r="M31" s="63">
        <f>SUM(P18:P28)</f>
        <v>18.520000000000007</v>
      </c>
      <c r="N31" s="133">
        <f>M31/L31</f>
        <v>0.17638095238095244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105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9.4499999999999993</v>
      </c>
    </row>
    <row r="35" spans="2:12" ht="20.149999999999999" customHeight="1" thickBot="1" x14ac:dyDescent="0.5">
      <c r="B35" s="10" t="s">
        <v>700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114.45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690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D24:F24"/>
    <mergeCell ref="I24:J24"/>
    <mergeCell ref="D22:F22"/>
    <mergeCell ref="I22:J22"/>
    <mergeCell ref="I23:J23"/>
    <mergeCell ref="J35:K35"/>
    <mergeCell ref="D28:F28"/>
    <mergeCell ref="I28:J28"/>
    <mergeCell ref="D29:F29"/>
    <mergeCell ref="I29:J29"/>
    <mergeCell ref="J31:K31"/>
    <mergeCell ref="J33:K33"/>
    <mergeCell ref="D26:F26"/>
    <mergeCell ref="I26:J26"/>
    <mergeCell ref="D27:F27"/>
    <mergeCell ref="I27:J27"/>
    <mergeCell ref="I25:J25"/>
    <mergeCell ref="D25:F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B15:D15"/>
    <mergeCell ref="D19:F19"/>
    <mergeCell ref="I20:J20"/>
    <mergeCell ref="I19:J19"/>
    <mergeCell ref="D21:F21"/>
    <mergeCell ref="I21:J21"/>
    <mergeCell ref="D20:F20"/>
  </mergeCells>
  <conditionalFormatting sqref="C23">
    <cfRule type="duplicateValues" dxfId="172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topLeftCell="A9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7265625" style="19" customWidth="1"/>
    <col min="7" max="7" width="8.54296875" style="19" customWidth="1"/>
    <col min="8" max="8" width="17.542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</v>
      </c>
      <c r="J10" s="24" t="s">
        <v>27</v>
      </c>
      <c r="K10" s="493">
        <v>202105109</v>
      </c>
      <c r="L10" s="494"/>
    </row>
    <row r="11" spans="2:12" ht="20.149999999999999" customHeight="1" x14ac:dyDescent="0.45">
      <c r="B11" s="477" t="s">
        <v>1181</v>
      </c>
      <c r="C11" s="478"/>
      <c r="D11" s="479"/>
      <c r="E11" s="25"/>
      <c r="F11" s="480" t="str">
        <f>VLOOKUP(H10,'Delivery Location'!A$4:N$460,2,0)</f>
        <v xml:space="preserve">Koufu - Dim Sum                                   Sengkang General Community Hospital. 1 Anchorvale Street #01-21 S'pore 544835                                                           </v>
      </c>
      <c r="G11" s="481"/>
      <c r="H11" s="482"/>
      <c r="J11" s="26" t="s">
        <v>9</v>
      </c>
      <c r="K11" s="504">
        <v>44322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865</v>
      </c>
      <c r="D18" s="461" t="str">
        <f>VLOOKUP(C18,'Sales Master'!B$3:D$530,2,)</f>
        <v>White Glutinous Rice 白糯米</v>
      </c>
      <c r="E18" s="461"/>
      <c r="F18" s="461"/>
      <c r="G18" s="17">
        <v>3</v>
      </c>
      <c r="H18" s="56" t="str">
        <f>VLOOKUP(C18,'Sales Master'!$B$3:$F$2481,5,0)</f>
        <v>5 KG</v>
      </c>
      <c r="I18" s="491" t="str">
        <f>VLOOKUP(C18,'Sales Master'!$B$3:$E$2481,4,0)</f>
        <v>-</v>
      </c>
      <c r="J18" s="491"/>
      <c r="K18" s="30">
        <f>VLOOKUP(C18,'Sales Master'!B$3:BA$530,52,0)</f>
        <v>10</v>
      </c>
      <c r="L18" s="64">
        <f>K18*G18</f>
        <v>30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91"/>
      <c r="J19" s="491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91"/>
      <c r="J21" s="491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91"/>
      <c r="J22" s="491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91"/>
      <c r="J23" s="491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91"/>
      <c r="J24" s="491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91"/>
      <c r="J25" s="491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73"/>
      <c r="J29" s="473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73"/>
      <c r="J30" s="473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73"/>
      <c r="J31" s="473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73"/>
      <c r="J32" s="473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73"/>
      <c r="J33" s="473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73"/>
      <c r="J34" s="473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73"/>
      <c r="J35" s="473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73"/>
      <c r="J36" s="473"/>
      <c r="K36" s="30"/>
      <c r="L36" s="31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SUM(L17:L36)</f>
        <v>30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30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2.6999999999999997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32.700000000000003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47"/>
  <sheetViews>
    <sheetView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f>'#01'!M1</f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84</v>
      </c>
      <c r="J10" s="24" t="s">
        <v>27</v>
      </c>
      <c r="K10" s="493">
        <v>202412456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IR, Singapore Pool Stall                       2 Bayfront Avenue. #01-01  Singapore 018972</v>
      </c>
      <c r="G11" s="481"/>
      <c r="H11" s="482"/>
      <c r="J11" s="26" t="s">
        <v>9</v>
      </c>
      <c r="K11" s="495">
        <v>45646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17">
        <v>3</v>
      </c>
      <c r="H18" s="188" t="str">
        <f>VLOOKUP(C18,'Sales Master'!$B$3:$F$2481,5,0)</f>
        <v>5 KG</v>
      </c>
      <c r="I18" s="503" t="str">
        <f>VLOOKUP(C18,'Sales Master'!$B$3:$E$2481,4,0)</f>
        <v>-</v>
      </c>
      <c r="J18" s="503"/>
      <c r="K18" s="30">
        <f>VLOOKUP(C18,'Sales Master'!$B$3:$AW$530,48,0)</f>
        <v>10</v>
      </c>
      <c r="L18" s="31">
        <f>K18*G18</f>
        <v>30</v>
      </c>
      <c r="N18" s="145">
        <f>VLOOKUP(C18,'Sales Master'!$B$3:$DA$2272,104,0)</f>
        <v>7.6</v>
      </c>
      <c r="O18" s="145">
        <f>K18-N18</f>
        <v>2.4000000000000004</v>
      </c>
      <c r="P18" s="145">
        <f>O18*G18</f>
        <v>7.2000000000000011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188"/>
      <c r="I19" s="503"/>
      <c r="J19" s="503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8"/>
      <c r="I20" s="503"/>
      <c r="J20" s="503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204"/>
      <c r="I21" s="497"/>
      <c r="J21" s="497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56"/>
      <c r="J31" s="17"/>
      <c r="K31" s="30"/>
      <c r="L31" s="31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17"/>
      <c r="I32" s="17"/>
      <c r="J32" s="17"/>
      <c r="K32" s="30"/>
      <c r="L32" s="31"/>
    </row>
    <row r="33" spans="2:14" ht="20.149999999999999" customHeight="1" thickBot="1" x14ac:dyDescent="0.5">
      <c r="B33" s="32"/>
      <c r="C33" s="33"/>
      <c r="D33" s="490"/>
      <c r="E33" s="490"/>
      <c r="F33" s="490"/>
      <c r="G33" s="33"/>
      <c r="H33" s="33"/>
      <c r="I33" s="33"/>
      <c r="J33" s="33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55" t="s">
        <v>13</v>
      </c>
      <c r="K35" s="456"/>
      <c r="L35" s="38">
        <f>SUM(L17:L33)</f>
        <v>30</v>
      </c>
      <c r="M35" s="63">
        <f>SUM(P18:P33)</f>
        <v>7.2000000000000011</v>
      </c>
      <c r="N35" s="133">
        <f>M35/L35</f>
        <v>0.24000000000000005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57" t="s">
        <v>19</v>
      </c>
      <c r="K37" s="458"/>
      <c r="L37" s="41">
        <f>L35-L36</f>
        <v>30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2.6999999999999997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59" t="s">
        <v>21</v>
      </c>
      <c r="K39" s="460"/>
      <c r="L39" s="43">
        <f>L37+L38</f>
        <v>32.700000000000003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39">
    <mergeCell ref="J39:K39"/>
    <mergeCell ref="D31:F31"/>
    <mergeCell ref="D32:F32"/>
    <mergeCell ref="D33:F33"/>
    <mergeCell ref="J35:K35"/>
    <mergeCell ref="J37:K37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12" zoomScale="95" zoomScaleNormal="95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</v>
      </c>
      <c r="J10" s="24" t="s">
        <v>27</v>
      </c>
      <c r="K10" s="493">
        <v>202406489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>FOOD REPUBLIC PTE LTD                                  Serangoon Nex@DRINK STALL                    23, Serangoon Central #B2-63                      Singapore 550683</v>
      </c>
      <c r="G11" s="481"/>
      <c r="H11" s="482"/>
      <c r="J11" s="26" t="s">
        <v>9</v>
      </c>
      <c r="K11" s="495">
        <v>45464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992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1184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1299</v>
      </c>
      <c r="D18" s="461" t="str">
        <f>VLOOKUP(C18,'Sales Master'!B$3:D$530,2,)</f>
        <v>Rock Sugar Syrup 冰糖浆</v>
      </c>
      <c r="E18" s="461"/>
      <c r="F18" s="461"/>
      <c r="G18" s="76">
        <v>8</v>
      </c>
      <c r="H18" s="183" t="str">
        <f>VLOOKUP(C18,'Sales Master'!$B$3:$F$2413,5,0)</f>
        <v>5 KG</v>
      </c>
      <c r="I18" s="462" t="str">
        <f>VLOOKUP(C18,'Sales Master'!$B$3:$E$2413,4,0)</f>
        <v>DO!</v>
      </c>
      <c r="J18" s="462"/>
      <c r="K18" s="83">
        <f>VLOOKUP(C18,'Sales Master'!B$3:I$530,8,0)</f>
        <v>10.5</v>
      </c>
      <c r="L18" s="84">
        <f>K18*G18</f>
        <v>84</v>
      </c>
      <c r="N18" s="145">
        <f>VLOOKUP(C18,'Sales Master'!$B$3:$DA$2272,104,0)</f>
        <v>5.86</v>
      </c>
      <c r="O18" s="145">
        <f>K18-N18</f>
        <v>4.6399999999999997</v>
      </c>
      <c r="P18" s="145">
        <f>O18*G18</f>
        <v>37.119999999999997</v>
      </c>
      <c r="R18" s="170">
        <f>N18*G18*0.07</f>
        <v>3.2816000000000005</v>
      </c>
      <c r="S18" s="170">
        <f>N18*G18*0.08</f>
        <v>3.7504000000000004</v>
      </c>
      <c r="T18" s="93"/>
      <c r="U18" s="93"/>
      <c r="V18" s="93"/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  <c r="R19" s="170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R20" s="170"/>
      <c r="S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  <c r="R21" s="170">
        <f>N21*G21*0.07</f>
        <v>0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84</v>
      </c>
      <c r="M30" s="63">
        <f>SUM(P18:P30)</f>
        <v>37.119999999999997</v>
      </c>
      <c r="N30" s="133">
        <f>M30/L30</f>
        <v>0.44190476190476186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84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7.56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91.56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3:F23"/>
    <mergeCell ref="I23:J23"/>
    <mergeCell ref="D24:F24"/>
    <mergeCell ref="I24:J24"/>
    <mergeCell ref="D22:F22"/>
    <mergeCell ref="I17:J17"/>
    <mergeCell ref="D20:F20"/>
    <mergeCell ref="I20:J20"/>
    <mergeCell ref="D21:F21"/>
    <mergeCell ref="I21:J21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1" priority="1"/>
  </conditionalFormatting>
  <conditionalFormatting sqref="C19:C22">
    <cfRule type="duplicateValues" dxfId="170" priority="4"/>
  </conditionalFormatting>
  <conditionalFormatting sqref="C23">
    <cfRule type="duplicateValues" dxfId="169" priority="5"/>
  </conditionalFormatting>
  <conditionalFormatting sqref="C24">
    <cfRule type="duplicateValues" dxfId="168" priority="3"/>
  </conditionalFormatting>
  <conditionalFormatting sqref="C25">
    <cfRule type="duplicateValues" dxfId="167" priority="2"/>
  </conditionalFormatting>
  <conditionalFormatting sqref="C27">
    <cfRule type="duplicateValues" dxfId="166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6BF7-04A1-42A4-8708-8027C5AB13B9}">
  <sheetPr>
    <tabColor rgb="FFFFC000"/>
    <pageSetUpPr fitToPage="1"/>
  </sheetPr>
  <dimension ref="A1:M46"/>
  <sheetViews>
    <sheetView topLeftCell="A15" zoomScaleNormal="100" workbookViewId="0">
      <selection activeCell="K13" sqref="K13:L13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211</v>
      </c>
      <c r="J10" s="24" t="s">
        <v>27</v>
      </c>
      <c r="K10" s="493">
        <v>202501051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Juice Stall                                                            Jewel Changi Airport. Five Spice, Stall #01. 78, Airport Boulevard. #B2-238/239/240. (819666)</v>
      </c>
      <c r="G11" s="481"/>
      <c r="H11" s="482"/>
      <c r="J11" s="26" t="s">
        <v>9</v>
      </c>
      <c r="K11" s="495">
        <v>45660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4500319378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520704</v>
      </c>
      <c r="C18" s="212" t="str">
        <f>VLOOKUP(B18,'Sales Master'!A$3:B$530,2,0)</f>
        <v>M1014</v>
      </c>
      <c r="D18" s="461" t="str">
        <f>VLOOKUP(C18,'Sales Master'!B$3:D$530,2,)</f>
        <v>Chendol 浆咯</v>
      </c>
      <c r="E18" s="461"/>
      <c r="F18" s="461"/>
      <c r="G18" s="76">
        <v>3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19.5</v>
      </c>
    </row>
    <row r="19" spans="1:13" ht="20.149999999999999" customHeight="1" x14ac:dyDescent="0.45">
      <c r="A19" s="65"/>
      <c r="B19" s="58">
        <v>520695</v>
      </c>
      <c r="C19" s="212" t="str">
        <f>VLOOKUP(B19,'Sales Master'!A$3:B$530,2,0)</f>
        <v>P3001B</v>
      </c>
      <c r="D19" s="461" t="str">
        <f>VLOOKUP(C19,'Sales Master'!B$3:D$530,2,)</f>
        <v>Atap Seeds in Syrup 亚嗒子</v>
      </c>
      <c r="E19" s="461"/>
      <c r="F19" s="461"/>
      <c r="G19" s="76">
        <v>2</v>
      </c>
      <c r="H19" s="247" t="str">
        <f>VLOOKUP(C19,'Sales Master'!$B$3:$F$2413,5,0)</f>
        <v>NW(1.6:0.6) 2.2kg/ Bag包</v>
      </c>
      <c r="I19" s="462" t="str">
        <f>VLOOKUP(C19,'Sales Master'!$B$3:$E$2413,4,0)</f>
        <v>DO!</v>
      </c>
      <c r="J19" s="462"/>
      <c r="K19" s="83">
        <f>VLOOKUP(C19,'Sales Master'!B$3:I$530,8,0)</f>
        <v>10</v>
      </c>
      <c r="L19" s="84">
        <f>K19*G19</f>
        <v>20</v>
      </c>
    </row>
    <row r="20" spans="1:13" ht="20.149999999999999" customHeight="1" x14ac:dyDescent="0.45">
      <c r="A20" s="65"/>
      <c r="B20" s="58">
        <v>520786</v>
      </c>
      <c r="C20" s="212" t="str">
        <f>VLOOKUP(B20,'Sales Master'!A$3:B$530,2,0)</f>
        <v>P3023</v>
      </c>
      <c r="D20" s="461" t="str">
        <f>VLOOKUP(C20,'Sales Master'!B$3:D$530,2,)</f>
        <v>Fungus黄 木耳朵</v>
      </c>
      <c r="E20" s="461"/>
      <c r="F20" s="461"/>
      <c r="G20" s="76">
        <v>1</v>
      </c>
      <c r="H20" s="247" t="str">
        <f>VLOOKUP(C20,'Sales Master'!$B$3:$F$2413,5,0)</f>
        <v>1 kg</v>
      </c>
      <c r="I20" s="462" t="str">
        <f>VLOOKUP(C20,'Sales Master'!$B$3:$E$2413,4,0)</f>
        <v>黄</v>
      </c>
      <c r="J20" s="462"/>
      <c r="K20" s="83">
        <f>VLOOKUP(C20,'Sales Master'!B$3:I$530,8,0)</f>
        <v>16</v>
      </c>
      <c r="L20" s="84">
        <f t="shared" ref="L20" si="1">K20*G20</f>
        <v>16</v>
      </c>
    </row>
    <row r="21" spans="1:13" ht="20.149999999999999" customHeight="1" x14ac:dyDescent="0.45">
      <c r="A21" s="65"/>
      <c r="B21" s="58">
        <v>520728</v>
      </c>
      <c r="C21" s="212" t="str">
        <f>VLOOKUP(B21,'Sales Master'!A$3:B$530,2,0)</f>
        <v>P4010</v>
      </c>
      <c r="D21" s="461" t="str">
        <f>VLOOKUP(C21,'Sales Master'!B$3:D$530,2,)</f>
        <v>Lychee in Syrup 荔枝</v>
      </c>
      <c r="E21" s="461"/>
      <c r="F21" s="461"/>
      <c r="G21" s="76">
        <v>2</v>
      </c>
      <c r="H21" s="247" t="str">
        <f>VLOOKUP(C21,'Sales Master'!$B$3:$F$2413,5,0)</f>
        <v>12can/箱</v>
      </c>
      <c r="I21" s="462" t="str">
        <f>VLOOKUP(C21,'Sales Master'!$B$3:$E$2413,4,0)</f>
        <v>MiLi</v>
      </c>
      <c r="J21" s="462"/>
      <c r="K21" s="83">
        <f>VLOOKUP(C21,'Sales Master'!B$3:I$530,8,0)</f>
        <v>24</v>
      </c>
      <c r="L21" s="84">
        <f>K21*G21</f>
        <v>48</v>
      </c>
    </row>
    <row r="22" spans="1:13" ht="20.149999999999999" customHeight="1" x14ac:dyDescent="0.45">
      <c r="A22" s="65"/>
      <c r="B22" s="58">
        <v>520700</v>
      </c>
      <c r="C22" s="212" t="str">
        <f>VLOOKUP(B22,'Sales Master'!A$3:B$530,2,0)</f>
        <v>P5002A</v>
      </c>
      <c r="D22" s="461" t="str">
        <f>VLOOKUP(C22,'Sales Master'!B$3:D$530,2,)</f>
        <v>Brown Sugar 黑糖</v>
      </c>
      <c r="E22" s="461"/>
      <c r="F22" s="461"/>
      <c r="G22" s="76">
        <v>1</v>
      </c>
      <c r="H22" s="247" t="str">
        <f>VLOOKUP(C22,'Sales Master'!$B$3:$F$2413,5,0)</f>
        <v>6 KG</v>
      </c>
      <c r="I22" s="462" t="str">
        <f>VLOOKUP(C22,'Sales Master'!$B$3:$E$2413,4,0)</f>
        <v>Star</v>
      </c>
      <c r="J22" s="462"/>
      <c r="K22" s="83">
        <f>VLOOKUP(C22,'Sales Master'!B$3:I$530,8,0)</f>
        <v>15.5</v>
      </c>
      <c r="L22" s="84">
        <f t="shared" ref="L22" si="2">K22*G22</f>
        <v>15.5</v>
      </c>
    </row>
    <row r="23" spans="1:13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462"/>
      <c r="J23" s="462"/>
      <c r="K23" s="83"/>
      <c r="L23" s="84"/>
    </row>
    <row r="24" spans="1:13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462"/>
      <c r="J24" s="462"/>
      <c r="K24" s="83"/>
      <c r="L24" s="84"/>
    </row>
    <row r="25" spans="1:13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462"/>
      <c r="J25" s="462"/>
      <c r="K25" s="83"/>
      <c r="L25" s="84"/>
    </row>
    <row r="26" spans="1:13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462"/>
      <c r="J26" s="462"/>
      <c r="K26" s="83"/>
      <c r="L26" s="84"/>
    </row>
    <row r="27" spans="1:13" ht="20.149999999999999" customHeight="1" x14ac:dyDescent="0.45">
      <c r="A27" s="65"/>
      <c r="B27" s="242"/>
      <c r="C27" s="212"/>
      <c r="G27" s="76"/>
      <c r="H27" s="247"/>
      <c r="I27" s="209"/>
      <c r="J27" s="209"/>
      <c r="K27" s="83"/>
      <c r="L27" s="84"/>
    </row>
    <row r="28" spans="1:13" ht="20.149999999999999" customHeight="1" x14ac:dyDescent="0.45">
      <c r="A28" s="65"/>
      <c r="B28" s="242"/>
      <c r="C28" s="212"/>
      <c r="G28" s="76"/>
      <c r="H28" s="247"/>
      <c r="I28" s="209"/>
      <c r="J28" s="209"/>
      <c r="K28" s="83"/>
      <c r="L28" s="84"/>
    </row>
    <row r="29" spans="1:13" ht="20.149999999999999" customHeight="1" x14ac:dyDescent="0.45">
      <c r="A29" s="65"/>
      <c r="B29" s="242"/>
      <c r="C29" s="212"/>
      <c r="G29" s="76"/>
      <c r="H29" s="247"/>
      <c r="I29" s="209"/>
      <c r="J29" s="209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14"/>
      <c r="J30" s="514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12" t="s">
        <v>13</v>
      </c>
      <c r="K32" s="513"/>
      <c r="L32" s="143">
        <f>SUM(L18:L31)</f>
        <v>119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119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10.709999999999999</v>
      </c>
    </row>
    <row r="36" spans="2:13" ht="20.149999999999999" customHeight="1" thickBot="1" x14ac:dyDescent="0.5">
      <c r="B36" s="10" t="s">
        <v>700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129.71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690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201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I22:J22"/>
    <mergeCell ref="I17:J17"/>
    <mergeCell ref="D23:F23"/>
    <mergeCell ref="I23:J23"/>
    <mergeCell ref="D19:F19"/>
    <mergeCell ref="I19:J19"/>
    <mergeCell ref="D18:F18"/>
    <mergeCell ref="I18:J18"/>
    <mergeCell ref="D17:F17"/>
    <mergeCell ref="D21:F21"/>
    <mergeCell ref="D24:F24"/>
    <mergeCell ref="D22:F22"/>
    <mergeCell ref="D20:F20"/>
    <mergeCell ref="I20:J20"/>
    <mergeCell ref="I21:J21"/>
    <mergeCell ref="D25:F25"/>
    <mergeCell ref="I25:J25"/>
    <mergeCell ref="D26:F26"/>
    <mergeCell ref="I26:J26"/>
    <mergeCell ref="J36:K36"/>
    <mergeCell ref="J32:K32"/>
    <mergeCell ref="J34:K34"/>
    <mergeCell ref="I30:J30"/>
  </mergeCells>
  <hyperlinks>
    <hyperlink ref="B15" r:id="rId1" xr:uid="{BF0F9107-7411-4830-A7F4-01ECC3C5C2F8}"/>
  </hyperlinks>
  <pageMargins left="0.74803149606299213" right="0" top="0" bottom="0" header="0" footer="0"/>
  <pageSetup paperSize="9" scale="71" orientation="portrait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theme="7"/>
    <pageSetUpPr fitToPage="1"/>
  </sheetPr>
  <dimension ref="B1:P54"/>
  <sheetViews>
    <sheetView topLeftCell="A28" zoomScaleNormal="100" workbookViewId="0">
      <selection activeCell="C38" sqref="C38:K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</v>
      </c>
      <c r="J10" s="24" t="s">
        <v>27</v>
      </c>
      <c r="K10" s="493">
        <v>202501163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Punggol OASIS (Gourmet Paradise)      681 Punggol Drive #04-01               OASIS Terraces, Singapore 820681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722</v>
      </c>
      <c r="D18" s="461" t="str">
        <f>VLOOKUP(C18,'Sales Master'!B$3:D$530,2,)</f>
        <v xml:space="preserve">Fresh Soursop 红毛榴莲 </v>
      </c>
      <c r="E18" s="461"/>
      <c r="F18" s="461"/>
      <c r="G18" s="76">
        <v>2</v>
      </c>
      <c r="H18" s="186" t="str">
        <f>VLOOKUP(C18,'Sales Master'!$B$3:$F$2481,5,0)</f>
        <v>GW:5 KG/ Tub桶</v>
      </c>
      <c r="I18" s="497" t="str">
        <f>VLOOKUP(C18,'Sales Master'!$B$3:$E$2481,4,0)</f>
        <v>DO!</v>
      </c>
      <c r="J18" s="497"/>
      <c r="K18" s="30">
        <f>VLOOKUP(C18,'Sales Master'!B$3:AT$530,45,0)</f>
        <v>31</v>
      </c>
      <c r="L18" s="64">
        <f t="shared" ref="L18" si="0">K18*G18</f>
        <v>62</v>
      </c>
      <c r="M18" s="65"/>
      <c r="N18" s="145">
        <f>VLOOKUP(C18,'Sales Master'!$B$3:$DA$2272,104,0)</f>
        <v>25.63</v>
      </c>
      <c r="O18" s="145">
        <f t="shared" ref="O18" si="1">K18-N18</f>
        <v>5.370000000000001</v>
      </c>
      <c r="P18" s="145">
        <f t="shared" ref="P18" si="2">O18*G18</f>
        <v>10.740000000000002</v>
      </c>
    </row>
    <row r="19" spans="2:16" ht="20.149999999999999" customHeight="1" x14ac:dyDescent="0.45">
      <c r="B19" s="29"/>
      <c r="C19" s="212" t="s">
        <v>736</v>
      </c>
      <c r="D19" s="461" t="str">
        <f>VLOOKUP(C19,'Sales Master'!B$3:D$530,2,)</f>
        <v>Bobo ChaCha Cubes 摩摩喳喳</v>
      </c>
      <c r="E19" s="461"/>
      <c r="F19" s="461"/>
      <c r="G19" s="76">
        <v>5</v>
      </c>
      <c r="H19" s="186" t="str">
        <f>VLOOKUP(C19,'Sales Master'!$B$3:$F$2481,5,0)</f>
        <v>800 GM/ Bag包</v>
      </c>
      <c r="I19" s="497" t="str">
        <f>VLOOKUP(C19,'Sales Master'!$B$3:$E$2481,4,0)</f>
        <v>DO!</v>
      </c>
      <c r="J19" s="497"/>
      <c r="K19" s="30">
        <f>VLOOKUP(C19,'Sales Master'!B$3:AT$530,45,0)</f>
        <v>6</v>
      </c>
      <c r="L19" s="64">
        <f>K19*G19</f>
        <v>30</v>
      </c>
      <c r="M19" s="65"/>
      <c r="N19" s="145">
        <f>VLOOKUP(C19,'Sales Master'!$B$3:$DA$2272,104,0)</f>
        <v>0.89</v>
      </c>
      <c r="O19" s="145">
        <f>K19-N19</f>
        <v>5.1100000000000003</v>
      </c>
      <c r="P19" s="145">
        <f>O19*G19</f>
        <v>25.55</v>
      </c>
    </row>
    <row r="20" spans="2:16" ht="20.149999999999999" customHeight="1" x14ac:dyDescent="0.45">
      <c r="B20" s="29"/>
      <c r="C20" s="212" t="s">
        <v>741</v>
      </c>
      <c r="D20" s="461" t="str">
        <f>VLOOKUP(C20,'Sales Master'!B$3:D$530,2,)</f>
        <v>Pong Thai Hai (Wet) 碰大海(湿)</v>
      </c>
      <c r="E20" s="461"/>
      <c r="F20" s="461"/>
      <c r="G20" s="76">
        <v>4</v>
      </c>
      <c r="H20" s="186" t="str">
        <f>VLOOKUP(C20,'Sales Master'!$B$3:$F$2481,5,0)</f>
        <v>1 KG/ Pkt包</v>
      </c>
      <c r="I20" s="497" t="str">
        <f>VLOOKUP(C20,'Sales Master'!$B$3:$E$2481,4,0)</f>
        <v>DO!</v>
      </c>
      <c r="J20" s="497"/>
      <c r="K20" s="30">
        <f>VLOOKUP(C20,'Sales Master'!B$3:AT$530,45,0)</f>
        <v>10</v>
      </c>
      <c r="L20" s="64">
        <f>K20*G20</f>
        <v>40</v>
      </c>
      <c r="M20" s="65"/>
      <c r="N20" s="145">
        <f>VLOOKUP(C20,'Sales Master'!$B$3:$DA$2272,104,0)</f>
        <v>0.9</v>
      </c>
      <c r="O20" s="145">
        <f>K20-N20</f>
        <v>9.1</v>
      </c>
      <c r="P20" s="145">
        <f>O20*G20</f>
        <v>36.4</v>
      </c>
    </row>
    <row r="21" spans="2:16" ht="20.149999999999999" customHeight="1" x14ac:dyDescent="0.45">
      <c r="B21" s="29"/>
      <c r="C21" s="212" t="s">
        <v>829</v>
      </c>
      <c r="D21" s="461" t="str">
        <f>VLOOKUP(C21,'Sales Master'!B$3:D$530,2,)</f>
        <v>Atap Seeds in Syrup 亚嗒子</v>
      </c>
      <c r="E21" s="461"/>
      <c r="F21" s="461"/>
      <c r="G21" s="76">
        <v>5</v>
      </c>
      <c r="H21" s="186" t="str">
        <f>VLOOKUP(C21,'Sales Master'!$B$3:$F$2481,5,0)</f>
        <v>NW(1.6:0.6) 2.2kg/ Bag包</v>
      </c>
      <c r="I21" s="497" t="str">
        <f>VLOOKUP(C21,'Sales Master'!$B$3:$E$2481,4,0)</f>
        <v>DO!</v>
      </c>
      <c r="J21" s="497"/>
      <c r="K21" s="30">
        <f>VLOOKUP(C21,'Sales Master'!B$3:AT$530,45,0)</f>
        <v>9.5</v>
      </c>
      <c r="L21" s="64">
        <f>K21*G21</f>
        <v>47.5</v>
      </c>
      <c r="M21" s="65"/>
      <c r="N21" s="145">
        <f>VLOOKUP(C21,'Sales Master'!$B$3:$DA$2272,104,0)</f>
        <v>7.3</v>
      </c>
      <c r="O21" s="145">
        <f>K21-N21</f>
        <v>2.2000000000000002</v>
      </c>
      <c r="P21" s="145">
        <f>O21*G21</f>
        <v>11</v>
      </c>
    </row>
    <row r="22" spans="2:16" ht="20.149999999999999" customHeight="1" x14ac:dyDescent="0.45">
      <c r="B22" s="29"/>
      <c r="C22" s="212" t="s">
        <v>836</v>
      </c>
      <c r="D22" s="461" t="str">
        <f>VLOOKUP(C22,'Sales Master'!B$3:D$530,2,)</f>
        <v>Red Bean 红豆 (5.5 mm)</v>
      </c>
      <c r="E22" s="461"/>
      <c r="F22" s="461"/>
      <c r="G22" s="76">
        <v>5</v>
      </c>
      <c r="H22" s="186" t="str">
        <f>VLOOKUP(C22,'Sales Master'!$B$3:$F$2481,5,0)</f>
        <v>5 KG</v>
      </c>
      <c r="I22" s="497" t="str">
        <f>VLOOKUP(C22,'Sales Master'!$B$3:$E$2481,4,0)</f>
        <v>-</v>
      </c>
      <c r="J22" s="497"/>
      <c r="K22" s="30">
        <f>VLOOKUP(C22,'Sales Master'!B$3:AT$530,45,0)</f>
        <v>17.5</v>
      </c>
      <c r="L22" s="64">
        <f t="shared" ref="L22:L35" si="3">K22*G22</f>
        <v>87.5</v>
      </c>
      <c r="M22" s="65"/>
      <c r="N22" s="145">
        <f>VLOOKUP(C22,'Sales Master'!$B$3:$DA$2272,104,0)</f>
        <v>12.5</v>
      </c>
      <c r="O22" s="145">
        <f t="shared" ref="O22:O35" si="4">K22-N22</f>
        <v>5</v>
      </c>
      <c r="P22" s="145">
        <f t="shared" ref="P22:P35" si="5">O22*G22</f>
        <v>25</v>
      </c>
    </row>
    <row r="23" spans="2:16" ht="20.149999999999999" customHeight="1" x14ac:dyDescent="0.45">
      <c r="B23" s="29"/>
      <c r="C23" s="212" t="s">
        <v>849</v>
      </c>
      <c r="D23" s="461" t="str">
        <f>VLOOKUP(C23,'Sales Master'!B$3:D$530,2,)</f>
        <v>Green Bean 绿豆</v>
      </c>
      <c r="E23" s="461"/>
      <c r="F23" s="461"/>
      <c r="G23" s="76">
        <v>3</v>
      </c>
      <c r="H23" s="186" t="str">
        <f>VLOOKUP(C23,'Sales Master'!$B$3:$F$2481,5,0)</f>
        <v>5 KG</v>
      </c>
      <c r="I23" s="497" t="str">
        <f>VLOOKUP(C23,'Sales Master'!$B$3:$E$2481,4,0)</f>
        <v>-</v>
      </c>
      <c r="J23" s="497"/>
      <c r="K23" s="30">
        <f>VLOOKUP(C23,'Sales Master'!B$3:AT$530,45,0)</f>
        <v>13</v>
      </c>
      <c r="L23" s="64">
        <f t="shared" si="3"/>
        <v>39</v>
      </c>
      <c r="M23" s="65"/>
      <c r="N23" s="145">
        <f>VLOOKUP(C23,'Sales Master'!$B$3:$DA$2272,104,0)</f>
        <v>8.75</v>
      </c>
      <c r="O23" s="145">
        <f t="shared" si="4"/>
        <v>4.25</v>
      </c>
      <c r="P23" s="145">
        <f t="shared" si="5"/>
        <v>12.75</v>
      </c>
    </row>
    <row r="24" spans="2:16" ht="20.149999999999999" customHeight="1" x14ac:dyDescent="0.45">
      <c r="B24" s="29"/>
      <c r="C24" s="212" t="s">
        <v>861</v>
      </c>
      <c r="D24" s="461" t="str">
        <f>VLOOKUP(C24,'Sales Master'!B$3:D$530,2,)</f>
        <v>Black Glutinous Rice 黑糯米</v>
      </c>
      <c r="E24" s="461"/>
      <c r="F24" s="461"/>
      <c r="G24" s="76">
        <v>3</v>
      </c>
      <c r="H24" s="186" t="str">
        <f>VLOOKUP(C24,'Sales Master'!$B$3:$F$2481,5,0)</f>
        <v>5 KGS</v>
      </c>
      <c r="I24" s="497" t="str">
        <f>VLOOKUP(C24,'Sales Master'!$B$3:$E$2481,4,0)</f>
        <v>-</v>
      </c>
      <c r="J24" s="497"/>
      <c r="K24" s="30">
        <f>VLOOKUP(C24,'Sales Master'!B$3:AT$530,45,0)</f>
        <v>18</v>
      </c>
      <c r="L24" s="64">
        <f t="shared" si="3"/>
        <v>54</v>
      </c>
      <c r="M24" s="65"/>
      <c r="N24" s="145">
        <f>VLOOKUP(C24,'Sales Master'!$B$3:$DA$2272,104,0)</f>
        <v>12</v>
      </c>
      <c r="O24" s="145">
        <f t="shared" si="4"/>
        <v>6</v>
      </c>
      <c r="P24" s="145">
        <f t="shared" si="5"/>
        <v>18</v>
      </c>
    </row>
    <row r="25" spans="2:16" ht="20.149999999999999" customHeight="1" x14ac:dyDescent="0.45">
      <c r="B25" s="29"/>
      <c r="C25" s="212" t="s">
        <v>870</v>
      </c>
      <c r="D25" s="461" t="str">
        <f>VLOOKUP(C25,'Sales Master'!B$3:D$530,2,)</f>
        <v>Pearl Barley 薏米</v>
      </c>
      <c r="E25" s="461"/>
      <c r="F25" s="461"/>
      <c r="G25" s="76">
        <v>2</v>
      </c>
      <c r="H25" s="186" t="str">
        <f>VLOOKUP(C25,'Sales Master'!$B$3:$F$2481,5,0)</f>
        <v>5 KG</v>
      </c>
      <c r="I25" s="497" t="str">
        <f>VLOOKUP(C25,'Sales Master'!$B$3:$E$2481,4,0)</f>
        <v>-</v>
      </c>
      <c r="J25" s="497"/>
      <c r="K25" s="30">
        <f>VLOOKUP(C25,'Sales Master'!B$3:AT$530,45,0)</f>
        <v>10</v>
      </c>
      <c r="L25" s="64">
        <f t="shared" si="3"/>
        <v>20</v>
      </c>
      <c r="M25" s="65"/>
      <c r="N25" s="145">
        <f>VLOOKUP(C25,'Sales Master'!$B$3:$DA$2272,104,0)</f>
        <v>7.6</v>
      </c>
      <c r="O25" s="145">
        <f t="shared" si="4"/>
        <v>2.4000000000000004</v>
      </c>
      <c r="P25" s="145">
        <f t="shared" si="5"/>
        <v>4.8000000000000007</v>
      </c>
    </row>
    <row r="26" spans="2:16" ht="20" customHeight="1" x14ac:dyDescent="0.45">
      <c r="B26" s="29"/>
      <c r="C26" s="212" t="s">
        <v>873</v>
      </c>
      <c r="D26" s="461" t="str">
        <f>VLOOKUP(C26,'Sales Master'!B$3:D$530,2,)</f>
        <v>Big Sago 大丸</v>
      </c>
      <c r="E26" s="461"/>
      <c r="F26" s="461"/>
      <c r="G26" s="76">
        <v>1</v>
      </c>
      <c r="H26" s="186" t="str">
        <f>VLOOKUP(C26,'Sales Master'!$B$3:$F$2481,5,0)</f>
        <v>5 KG</v>
      </c>
      <c r="I26" s="497" t="str">
        <f>VLOOKUP(C26,'Sales Master'!$B$3:$E$2481,4,0)</f>
        <v>-</v>
      </c>
      <c r="J26" s="497"/>
      <c r="K26" s="30">
        <f>VLOOKUP(C26,'Sales Master'!B$3:AT$530,45,0)</f>
        <v>11</v>
      </c>
      <c r="L26" s="64">
        <f t="shared" si="3"/>
        <v>11</v>
      </c>
      <c r="M26" s="65"/>
      <c r="N26" s="145">
        <f>VLOOKUP(C26,'Sales Master'!$B$3:$DA$2272,104,0)</f>
        <v>8.5</v>
      </c>
      <c r="O26" s="145">
        <f t="shared" si="4"/>
        <v>2.5</v>
      </c>
      <c r="P26" s="145">
        <f t="shared" si="5"/>
        <v>2.5</v>
      </c>
    </row>
    <row r="27" spans="2:16" ht="20" customHeight="1" x14ac:dyDescent="0.45">
      <c r="B27" s="29"/>
      <c r="C27" s="212" t="s">
        <v>877</v>
      </c>
      <c r="D27" s="461" t="str">
        <f>VLOOKUP(C27,'Sales Master'!B$3:D$530,2,)</f>
        <v>Small Sago 小丸</v>
      </c>
      <c r="E27" s="461"/>
      <c r="F27" s="461"/>
      <c r="G27" s="76">
        <v>2</v>
      </c>
      <c r="H27" s="186" t="str">
        <f>VLOOKUP(C27,'Sales Master'!$B$3:$F$2481,5,0)</f>
        <v>5 KG</v>
      </c>
      <c r="I27" s="497" t="str">
        <f>VLOOKUP(C27,'Sales Master'!$B$3:$E$2481,4,0)</f>
        <v>-</v>
      </c>
      <c r="J27" s="497"/>
      <c r="K27" s="30">
        <f>VLOOKUP(C27,'Sales Master'!B$3:AT$530,45,0)</f>
        <v>10</v>
      </c>
      <c r="L27" s="64">
        <f t="shared" si="3"/>
        <v>20</v>
      </c>
      <c r="M27" s="65"/>
      <c r="N27" s="145">
        <f>VLOOKUP(C27,'Sales Master'!$B$3:$DA$2272,104,0)</f>
        <v>0.70833333333333326</v>
      </c>
      <c r="O27" s="145">
        <f t="shared" si="4"/>
        <v>9.2916666666666661</v>
      </c>
      <c r="P27" s="145">
        <f t="shared" si="5"/>
        <v>18.583333333333332</v>
      </c>
    </row>
    <row r="28" spans="2:16" ht="20" customHeight="1" x14ac:dyDescent="0.45">
      <c r="B28" s="29"/>
      <c r="C28" s="212" t="s">
        <v>886</v>
      </c>
      <c r="D28" s="461" t="str">
        <f>VLOOKUP(C28,'Sales Master'!B$3:D$530,2,)</f>
        <v>Fungus黄 木耳朵</v>
      </c>
      <c r="E28" s="461"/>
      <c r="F28" s="461"/>
      <c r="G28" s="76">
        <v>1</v>
      </c>
      <c r="H28" s="186" t="str">
        <f>VLOOKUP(C28,'Sales Master'!$B$3:$F$2481,5,0)</f>
        <v>1 kg</v>
      </c>
      <c r="I28" s="497" t="str">
        <f>VLOOKUP(C28,'Sales Master'!$B$3:$E$2481,4,0)</f>
        <v>黄</v>
      </c>
      <c r="J28" s="497"/>
      <c r="K28" s="30">
        <f>VLOOKUP(C28,'Sales Master'!B$3:AT$530,45,0)</f>
        <v>16</v>
      </c>
      <c r="L28" s="64">
        <f t="shared" si="3"/>
        <v>16</v>
      </c>
      <c r="M28" s="65"/>
      <c r="N28" s="145">
        <f>VLOOKUP(C28,'Sales Master'!$B$3:$DA$2272,104,0)</f>
        <v>11</v>
      </c>
      <c r="O28" s="145">
        <f t="shared" si="4"/>
        <v>5</v>
      </c>
      <c r="P28" s="145">
        <f t="shared" si="5"/>
        <v>5</v>
      </c>
    </row>
    <row r="29" spans="2:16" ht="20.149999999999999" customHeight="1" x14ac:dyDescent="0.45">
      <c r="B29" s="29"/>
      <c r="C29" s="212" t="s">
        <v>980</v>
      </c>
      <c r="D29" s="461" t="str">
        <f>VLOOKUP(C29,'Sales Master'!B$3:D$530,2,)</f>
        <v>GingKo Nut 白果罐</v>
      </c>
      <c r="E29" s="461"/>
      <c r="F29" s="461"/>
      <c r="G29" s="76">
        <v>2</v>
      </c>
      <c r="H29" s="186" t="str">
        <f>VLOOKUP(C29,'Sales Master'!$B$3:$F$2481,5,0)</f>
        <v>397 GM x 24/ Ctn箱</v>
      </c>
      <c r="I29" s="497" t="str">
        <f>VLOOKUP(C29,'Sales Master'!$B$3:$E$2481,4,0)</f>
        <v>MiLi</v>
      </c>
      <c r="J29" s="497"/>
      <c r="K29" s="30">
        <f>VLOOKUP(C29,'Sales Master'!B$3:AT$530,45,0)</f>
        <v>32</v>
      </c>
      <c r="L29" s="64">
        <f t="shared" ref="L29:L32" si="6">K29*G29</f>
        <v>64</v>
      </c>
      <c r="M29" s="65"/>
      <c r="N29" s="145">
        <f>VLOOKUP(C29,'Sales Master'!$B$3:$DA$2272,104,0)</f>
        <v>21</v>
      </c>
      <c r="O29" s="145">
        <f t="shared" ref="O29:O32" si="7">K29-N29</f>
        <v>11</v>
      </c>
      <c r="P29" s="145">
        <f t="shared" ref="P29:P32" si="8">O29*G29</f>
        <v>22</v>
      </c>
    </row>
    <row r="30" spans="2:16" ht="20.149999999999999" customHeight="1" x14ac:dyDescent="0.45">
      <c r="B30" s="29"/>
      <c r="C30" s="212" t="s">
        <v>990</v>
      </c>
      <c r="D30" s="461" t="str">
        <f>VLOOKUP(C30,'Sales Master'!B$3:D$530,2,)</f>
        <v>Coconut Milk 椰浆</v>
      </c>
      <c r="E30" s="461"/>
      <c r="F30" s="461"/>
      <c r="G30" s="76">
        <v>2</v>
      </c>
      <c r="H30" s="186" t="str">
        <f>VLOOKUP(C30,'Sales Master'!$B$3:$F$2481,5,0)</f>
        <v>(1L x 12bag)/箱</v>
      </c>
      <c r="I30" s="497" t="str">
        <f>VLOOKUP(C30,'Sales Master'!$B$3:$E$2481,4,0)</f>
        <v>Kara UHT</v>
      </c>
      <c r="J30" s="497"/>
      <c r="K30" s="30">
        <f>VLOOKUP(C30,'Sales Master'!B$3:AT$530,45,0)</f>
        <v>42</v>
      </c>
      <c r="L30" s="64">
        <f>K30*G30</f>
        <v>84</v>
      </c>
      <c r="M30" s="65"/>
      <c r="N30" s="145">
        <f>VLOOKUP(C30,'Sales Master'!$B$3:$DA$2272,104,0)</f>
        <v>35.799999999999997</v>
      </c>
      <c r="O30" s="145">
        <f>K30-N30</f>
        <v>6.2000000000000028</v>
      </c>
      <c r="P30" s="145">
        <f>O30*G30</f>
        <v>12.400000000000006</v>
      </c>
    </row>
    <row r="31" spans="2:16" ht="20.149999999999999" customHeight="1" x14ac:dyDescent="0.45">
      <c r="B31" s="29"/>
      <c r="C31" s="212" t="s">
        <v>1206</v>
      </c>
      <c r="D31" s="461" t="str">
        <f>VLOOKUP(C31,'Sales Master'!B$3:D$530,2,)</f>
        <v>Water Chestnut 马蹄罐</v>
      </c>
      <c r="E31" s="461"/>
      <c r="F31" s="461"/>
      <c r="G31" s="76">
        <v>1</v>
      </c>
      <c r="H31" s="186" t="str">
        <f>VLOOKUP(C31,'Sales Master'!$B$3:$F$2481,5,0)</f>
        <v>(567gm x 24)/ Ctn箱</v>
      </c>
      <c r="I31" s="497" t="str">
        <f>VLOOKUP(C31,'Sales Master'!$B$3:$E$2481,4,0)</f>
        <v>GOLDEN CHAMP</v>
      </c>
      <c r="J31" s="497"/>
      <c r="K31" s="30">
        <f>VLOOKUP(C31,'Sales Master'!B$3:AT$530,45,0)</f>
        <v>34</v>
      </c>
      <c r="L31" s="64">
        <f>K31*G31</f>
        <v>34</v>
      </c>
      <c r="M31" s="65"/>
      <c r="N31" s="145">
        <f>VLOOKUP(C31,'Sales Master'!$B$3:$DA$2272,104,0)</f>
        <v>27</v>
      </c>
      <c r="O31" s="145">
        <f>K31-N31</f>
        <v>7</v>
      </c>
      <c r="P31" s="145">
        <f>O31*G31</f>
        <v>7</v>
      </c>
    </row>
    <row r="32" spans="2:16" ht="20.149999999999999" customHeight="1" x14ac:dyDescent="0.45">
      <c r="B32" s="29"/>
      <c r="C32" s="212" t="s">
        <v>1279</v>
      </c>
      <c r="D32" s="461" t="str">
        <f>VLOOKUP(C32,'Sales Master'!B$3:D$530,2,)</f>
        <v>Corn Cream 玉米浆</v>
      </c>
      <c r="E32" s="461"/>
      <c r="F32" s="461"/>
      <c r="G32" s="76">
        <v>1</v>
      </c>
      <c r="H32" s="186" t="str">
        <f>VLOOKUP(C32,'Sales Master'!$B$3:$F$2481,5,0)</f>
        <v>24 CAN/ Ctn</v>
      </c>
      <c r="I32" s="497" t="str">
        <f>VLOOKUP(C32,'Sales Master'!$B$3:$E$2481,4,0)</f>
        <v>Golden Boy</v>
      </c>
      <c r="J32" s="497"/>
      <c r="K32" s="30">
        <f>VLOOKUP(C32,'Sales Master'!B$3:AT$530,45,0)</f>
        <v>20.5</v>
      </c>
      <c r="L32" s="64">
        <f t="shared" si="6"/>
        <v>20.5</v>
      </c>
      <c r="M32" s="65"/>
      <c r="N32" s="145">
        <f>VLOOKUP(C32,'Sales Master'!$B$3:$DA$2272,104,0)</f>
        <v>16</v>
      </c>
      <c r="O32" s="145">
        <f t="shared" si="7"/>
        <v>4.5</v>
      </c>
      <c r="P32" s="145">
        <f t="shared" si="8"/>
        <v>4.5</v>
      </c>
    </row>
    <row r="33" spans="2:16" ht="20.149999999999999" customHeight="1" x14ac:dyDescent="0.45">
      <c r="B33" s="29"/>
      <c r="C33" s="212" t="s">
        <v>2258</v>
      </c>
      <c r="D33" s="461" t="str">
        <f>VLOOKUP(C33,'Sales Master'!B$3:D$530,2,)</f>
        <v>Longan in Syrup 龙眼</v>
      </c>
      <c r="E33" s="461"/>
      <c r="F33" s="461"/>
      <c r="G33" s="76">
        <v>2</v>
      </c>
      <c r="H33" s="186" t="str">
        <f>VLOOKUP(C33,'Sales Master'!$B$3:$F$2481,5,0)</f>
        <v>(565gm x 12)/ Ctn箱</v>
      </c>
      <c r="I33" s="497" t="str">
        <f>VLOOKUP(C33,'Sales Master'!$B$3:$E$2481,4,0)</f>
        <v>GoldenBoy</v>
      </c>
      <c r="J33" s="497"/>
      <c r="K33" s="30">
        <f>VLOOKUP(C33,'Sales Master'!B$3:AT$530,45,0)</f>
        <v>24</v>
      </c>
      <c r="L33" s="64">
        <f>K33*G33</f>
        <v>48</v>
      </c>
      <c r="M33" s="65"/>
      <c r="N33" s="145">
        <f>VLOOKUP(C33,'Sales Master'!$B$3:$DA$2272,104,0)</f>
        <v>20</v>
      </c>
      <c r="O33" s="145">
        <f>K33-N33</f>
        <v>4</v>
      </c>
      <c r="P33" s="145">
        <f>O33*G33</f>
        <v>8</v>
      </c>
    </row>
    <row r="34" spans="2:16" ht="20" customHeight="1" x14ac:dyDescent="0.45">
      <c r="B34" s="29"/>
      <c r="C34" s="212" t="s">
        <v>1033</v>
      </c>
      <c r="D34" s="461" t="str">
        <f>VLOOKUP(C34,'Sales Master'!B$3:D$530,2,)</f>
        <v>Pandan Leaf 班兰叶</v>
      </c>
      <c r="E34" s="461"/>
      <c r="F34" s="461"/>
      <c r="G34" s="76">
        <v>3</v>
      </c>
      <c r="H34" s="186" t="str">
        <f>VLOOKUP(C34,'Sales Master'!$B$3:$F$2481,5,0)</f>
        <v>1 KG</v>
      </c>
      <c r="I34" s="497" t="str">
        <f>VLOOKUP(C34,'Sales Master'!$B$3:$E$2481,4,0)</f>
        <v>-</v>
      </c>
      <c r="J34" s="497"/>
      <c r="K34" s="30">
        <f>VLOOKUP(C34,'Sales Master'!B$3:AT$530,45,0)</f>
        <v>1.8</v>
      </c>
      <c r="L34" s="64">
        <f t="shared" ref="L34" si="9">K34*G34</f>
        <v>5.4</v>
      </c>
      <c r="M34" s="65"/>
      <c r="N34" s="145">
        <f>VLOOKUP(C34,'Sales Master'!$B$3:$DA$2272,104,0)</f>
        <v>1.1000000000000001</v>
      </c>
      <c r="O34" s="145">
        <f t="shared" ref="O34" si="10">K34-N34</f>
        <v>0.7</v>
      </c>
      <c r="P34" s="145">
        <f t="shared" ref="P34" si="11">O34*G34</f>
        <v>2.0999999999999996</v>
      </c>
    </row>
    <row r="35" spans="2:16" ht="20.149999999999999" customHeight="1" x14ac:dyDescent="0.45">
      <c r="B35" s="29"/>
      <c r="C35" s="212" t="s">
        <v>1041</v>
      </c>
      <c r="D35" s="461" t="str">
        <f>VLOOKUP(C35,'Sales Master'!B$3:D$530,2,)</f>
        <v>Food Coloring - Liquid 颜色水</v>
      </c>
      <c r="E35" s="461"/>
      <c r="F35" s="461"/>
      <c r="G35" s="76">
        <v>3</v>
      </c>
      <c r="H35" s="186" t="str">
        <f>VLOOKUP(C35,'Sales Master'!$B$3:$F$2481,5,0)</f>
        <v>500 ML/ Btl支</v>
      </c>
      <c r="I35" s="497" t="str">
        <f>VLOOKUP(C35,'Sales Master'!$B$3:$E$2481,4,0)</f>
        <v>Red/红</v>
      </c>
      <c r="J35" s="497"/>
      <c r="K35" s="30">
        <f>VLOOKUP(C35,'Sales Master'!B$3:AT$530,45,0)</f>
        <v>2.5</v>
      </c>
      <c r="L35" s="64">
        <f t="shared" si="3"/>
        <v>7.5</v>
      </c>
      <c r="M35" s="65"/>
      <c r="N35" s="145">
        <f>VLOOKUP(C35,'Sales Master'!$B$3:$DA$2272,104,0)</f>
        <v>1.8399999999999999</v>
      </c>
      <c r="O35" s="145">
        <f t="shared" si="4"/>
        <v>0.66000000000000014</v>
      </c>
      <c r="P35" s="145">
        <f t="shared" si="5"/>
        <v>1.9800000000000004</v>
      </c>
    </row>
    <row r="36" spans="2:16" ht="20" customHeight="1" x14ac:dyDescent="0.45">
      <c r="B36" s="29"/>
      <c r="C36" s="212"/>
      <c r="G36" s="76"/>
      <c r="H36" s="186"/>
      <c r="I36" s="208"/>
      <c r="J36" s="208"/>
      <c r="K36" s="30"/>
      <c r="L36" s="64"/>
      <c r="M36" s="65"/>
      <c r="N36" s="145"/>
      <c r="O36" s="145"/>
      <c r="P36" s="145"/>
    </row>
    <row r="37" spans="2:16" ht="20" customHeight="1" x14ac:dyDescent="0.45">
      <c r="B37" s="29"/>
      <c r="C37" s="212"/>
      <c r="G37" s="76"/>
      <c r="H37" s="186"/>
      <c r="I37" s="208"/>
      <c r="J37" s="208"/>
      <c r="K37" s="30"/>
      <c r="L37" s="64"/>
      <c r="M37" s="65"/>
      <c r="N37" s="145"/>
      <c r="O37" s="145"/>
      <c r="P37" s="145"/>
    </row>
    <row r="38" spans="2:16" ht="20" customHeight="1" x14ac:dyDescent="0.45">
      <c r="B38" s="29"/>
      <c r="C38" s="149" t="s">
        <v>2317</v>
      </c>
      <c r="D38" s="403"/>
      <c r="E38" s="403"/>
      <c r="F38" s="403"/>
      <c r="G38" s="76"/>
      <c r="H38" s="186"/>
      <c r="I38" s="497"/>
      <c r="J38" s="497"/>
      <c r="K38" s="190"/>
      <c r="L38" s="64"/>
      <c r="M38" s="65"/>
      <c r="N38" s="145"/>
      <c r="O38" s="145"/>
      <c r="P38" s="145"/>
    </row>
    <row r="39" spans="2:16" ht="20" customHeight="1" x14ac:dyDescent="0.45">
      <c r="B39" s="29"/>
      <c r="C39" s="212" t="s">
        <v>990</v>
      </c>
      <c r="D39" s="501" t="str">
        <f>VLOOKUP(C39,'[3]Sales Master'!B$3:D$663,2,0)</f>
        <v>Coconut Milk 椰浆</v>
      </c>
      <c r="E39" s="501"/>
      <c r="F39" s="501"/>
      <c r="G39" s="17">
        <v>1</v>
      </c>
      <c r="H39" s="186" t="str">
        <f>VLOOKUP(C39,'[3]Sales Master'!B$3:F$955,5,0)</f>
        <v>(1L x 12bag)/箱</v>
      </c>
      <c r="I39" s="497" t="str">
        <f>VLOOKUP(C39,'[3]Sales Master'!B$3:E$955,4,0)</f>
        <v>Kara UHT</v>
      </c>
      <c r="J39" s="497"/>
      <c r="K39" s="190">
        <v>48</v>
      </c>
      <c r="L39" s="64"/>
      <c r="M39" s="65"/>
      <c r="N39" s="145"/>
      <c r="O39" s="145"/>
      <c r="P39" s="145"/>
    </row>
    <row r="40" spans="2:16" ht="20.149999999999999" customHeight="1" thickBot="1" x14ac:dyDescent="0.5">
      <c r="B40" s="32"/>
      <c r="C40" s="33"/>
      <c r="D40" s="490"/>
      <c r="E40" s="490"/>
      <c r="F40" s="490"/>
      <c r="G40" s="33"/>
      <c r="H40" s="57"/>
      <c r="I40" s="474"/>
      <c r="J40" s="474"/>
      <c r="K40" s="34"/>
      <c r="L40" s="35"/>
    </row>
    <row r="41" spans="2:16" ht="20.149999999999999" customHeight="1" thickBot="1" x14ac:dyDescent="0.5">
      <c r="B41" s="36"/>
      <c r="L41" s="37"/>
    </row>
    <row r="42" spans="2:16" ht="20.149999999999999" customHeight="1" x14ac:dyDescent="0.45">
      <c r="B42" s="10" t="s">
        <v>16</v>
      </c>
      <c r="C42" s="6"/>
      <c r="D42" s="6"/>
      <c r="E42" s="6"/>
      <c r="F42" s="6"/>
      <c r="G42" s="6"/>
      <c r="H42" s="6"/>
      <c r="I42" s="6"/>
      <c r="J42" s="455" t="s">
        <v>13</v>
      </c>
      <c r="K42" s="456"/>
      <c r="L42" s="38">
        <f>SUM(L18:L40)</f>
        <v>690.4</v>
      </c>
      <c r="M42" s="63">
        <f>SUM(P18:P40)-L42*0.02</f>
        <v>214.49533333333335</v>
      </c>
      <c r="N42" s="133">
        <f>M42/L42</f>
        <v>0.31068269602163001</v>
      </c>
    </row>
    <row r="43" spans="2:16" ht="20.149999999999999" customHeight="1" x14ac:dyDescent="0.45">
      <c r="B43" s="10" t="s">
        <v>17</v>
      </c>
      <c r="C43" s="6"/>
      <c r="D43" s="6"/>
      <c r="E43" s="6"/>
      <c r="F43" s="6"/>
      <c r="G43" s="6"/>
      <c r="H43" s="6"/>
      <c r="I43" s="6"/>
      <c r="J43" s="39" t="s">
        <v>20</v>
      </c>
      <c r="K43" s="40"/>
      <c r="L43" s="41">
        <f>L42*K43</f>
        <v>0</v>
      </c>
    </row>
    <row r="44" spans="2:16" ht="20.149999999999999" customHeight="1" x14ac:dyDescent="0.45">
      <c r="B44" s="10" t="s">
        <v>18</v>
      </c>
      <c r="C44" s="6"/>
      <c r="D44" s="6"/>
      <c r="E44" s="6"/>
      <c r="F44" s="6"/>
      <c r="G44" s="6"/>
      <c r="H44" s="6"/>
      <c r="I44" s="6"/>
      <c r="J44" s="457" t="s">
        <v>19</v>
      </c>
      <c r="K44" s="458"/>
      <c r="L44" s="41">
        <f>L42-L43</f>
        <v>690.4</v>
      </c>
    </row>
    <row r="45" spans="2:16" ht="20.149999999999999" customHeight="1" x14ac:dyDescent="0.45">
      <c r="B45" s="10" t="s">
        <v>22</v>
      </c>
      <c r="C45" s="6"/>
      <c r="D45" s="6"/>
      <c r="E45" s="6"/>
      <c r="F45" s="6"/>
      <c r="G45" s="6"/>
      <c r="H45" s="6"/>
      <c r="I45" s="6"/>
      <c r="J45" s="102" t="s">
        <v>15</v>
      </c>
      <c r="K45" s="103">
        <f>'Sales Master'!$B$1</f>
        <v>0.09</v>
      </c>
      <c r="L45" s="42">
        <f>L44*K45</f>
        <v>62.135999999999996</v>
      </c>
    </row>
    <row r="46" spans="2:16" ht="20.149999999999999" customHeight="1" thickBot="1" x14ac:dyDescent="0.5">
      <c r="B46" s="10" t="s">
        <v>23</v>
      </c>
      <c r="C46" s="6"/>
      <c r="D46" s="6"/>
      <c r="E46" s="6"/>
      <c r="F46" s="6"/>
      <c r="G46" s="6"/>
      <c r="H46" s="6"/>
      <c r="I46" s="6"/>
      <c r="J46" s="459" t="s">
        <v>21</v>
      </c>
      <c r="K46" s="460"/>
      <c r="L46" s="43">
        <f>L44+L45</f>
        <v>752.53599999999994</v>
      </c>
    </row>
    <row r="47" spans="2:16" ht="20.149999999999999" customHeight="1" x14ac:dyDescent="0.45">
      <c r="B47" s="10" t="s">
        <v>24</v>
      </c>
      <c r="C47" s="6"/>
      <c r="D47" s="6"/>
      <c r="E47" s="6"/>
      <c r="F47" s="6"/>
      <c r="G47" s="6"/>
      <c r="H47" s="6"/>
      <c r="I47" s="6"/>
      <c r="L47" s="37"/>
    </row>
    <row r="48" spans="2:16" ht="20.149999999999999" customHeight="1" x14ac:dyDescent="0.45">
      <c r="B48" s="36"/>
      <c r="L48" s="37"/>
    </row>
    <row r="49" spans="2:12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x14ac:dyDescent="0.45">
      <c r="B52" s="44"/>
      <c r="C52" s="45"/>
      <c r="D52" s="45"/>
      <c r="J52" s="45"/>
      <c r="K52" s="45"/>
      <c r="L52" s="46"/>
    </row>
    <row r="53" spans="2:12" ht="20.149999999999999" customHeight="1" x14ac:dyDescent="0.45">
      <c r="B53" s="36" t="s">
        <v>25</v>
      </c>
      <c r="J53" s="19" t="s">
        <v>26</v>
      </c>
      <c r="L53" s="37"/>
    </row>
    <row r="54" spans="2:12" ht="19" thickBot="1" x14ac:dyDescent="0.5">
      <c r="B54" s="47"/>
      <c r="C54" s="48"/>
      <c r="D54" s="48"/>
      <c r="E54" s="48"/>
      <c r="F54" s="48"/>
      <c r="G54" s="48"/>
      <c r="H54" s="48"/>
      <c r="I54" s="48"/>
      <c r="J54" s="48"/>
      <c r="K54" s="48"/>
      <c r="L54" s="49"/>
    </row>
  </sheetData>
  <mergeCells count="59">
    <mergeCell ref="D39:F39"/>
    <mergeCell ref="I39:J39"/>
    <mergeCell ref="D34:F34"/>
    <mergeCell ref="I27:J27"/>
    <mergeCell ref="I26:J26"/>
    <mergeCell ref="I34:J34"/>
    <mergeCell ref="I31:J31"/>
    <mergeCell ref="D31:F31"/>
    <mergeCell ref="I33:J33"/>
    <mergeCell ref="I29:J29"/>
    <mergeCell ref="I38:J38"/>
    <mergeCell ref="I30:J30"/>
    <mergeCell ref="I32:J32"/>
    <mergeCell ref="I19:J19"/>
    <mergeCell ref="I35:J35"/>
    <mergeCell ref="I23:J23"/>
    <mergeCell ref="I21:J21"/>
    <mergeCell ref="I25:J25"/>
    <mergeCell ref="I20:J20"/>
    <mergeCell ref="I24:J24"/>
    <mergeCell ref="I22:J22"/>
    <mergeCell ref="D19:F19"/>
    <mergeCell ref="D25:F25"/>
    <mergeCell ref="D32:F32"/>
    <mergeCell ref="D20:F20"/>
    <mergeCell ref="D24:F24"/>
    <mergeCell ref="D30:F30"/>
    <mergeCell ref="D27:F27"/>
    <mergeCell ref="D26:F26"/>
    <mergeCell ref="D22:F22"/>
    <mergeCell ref="I17:J17"/>
    <mergeCell ref="I18:J18"/>
    <mergeCell ref="D17:F17"/>
    <mergeCell ref="D18:F18"/>
    <mergeCell ref="J46:K46"/>
    <mergeCell ref="D40:F40"/>
    <mergeCell ref="I40:J40"/>
    <mergeCell ref="J44:K44"/>
    <mergeCell ref="J42:K42"/>
    <mergeCell ref="D28:F28"/>
    <mergeCell ref="I28:J28"/>
    <mergeCell ref="D33:F33"/>
    <mergeCell ref="D29:F29"/>
    <mergeCell ref="D35:F35"/>
    <mergeCell ref="D23:F23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38">
    <cfRule type="duplicateValues" dxfId="165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1"/>
  <sheetViews>
    <sheetView topLeftCell="A14" zoomScaleNormal="100" workbookViewId="0">
      <selection activeCell="H29" sqref="H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x14ac:dyDescent="0.45">
      <c r="B9" s="18"/>
      <c r="J9" s="45"/>
      <c r="K9" s="558"/>
      <c r="L9" s="558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221</v>
      </c>
      <c r="J10" s="123" t="s">
        <v>27</v>
      </c>
      <c r="K10" s="556">
        <v>202501222</v>
      </c>
      <c r="L10" s="557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       Block 168 Punggol Field #01-01      Punggol Plaza Singapore 820168               </v>
      </c>
      <c r="G11" s="481"/>
      <c r="H11" s="482"/>
      <c r="J11" s="26" t="s">
        <v>9</v>
      </c>
      <c r="K11" s="495">
        <v>45667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2" t="s">
        <v>736</v>
      </c>
      <c r="D18" s="461" t="str">
        <f>VLOOKUP(C18,'Sales Master'!B$3:D$530,2,)</f>
        <v>Bobo ChaCha Cubes 摩摩喳喳</v>
      </c>
      <c r="E18" s="461"/>
      <c r="F18" s="461"/>
      <c r="G18" s="76">
        <v>4</v>
      </c>
      <c r="H18" s="85" t="str">
        <f>VLOOKUP(C18,'Sales Master'!$B$3:$F$2481,5,0)</f>
        <v>800 GM/ Bag包</v>
      </c>
      <c r="I18" s="497" t="str">
        <f>VLOOKUP(C18,'Sales Master'!$B$3:$E$2481,4,0)</f>
        <v>DO!</v>
      </c>
      <c r="J18" s="497"/>
      <c r="K18" s="30">
        <f>VLOOKUP(C18,'Sales Master'!$B$3:$AU$530,46,0)</f>
        <v>6</v>
      </c>
      <c r="L18" s="31">
        <f t="shared" ref="L18" si="0">K18*G18</f>
        <v>24</v>
      </c>
      <c r="M18" s="63"/>
    </row>
    <row r="19" spans="2:13" ht="20" customHeight="1" x14ac:dyDescent="0.45">
      <c r="B19" s="36"/>
      <c r="C19" s="212" t="s">
        <v>810</v>
      </c>
      <c r="D19" s="461" t="str">
        <f>VLOOKUP(C19,'Sales Master'!B$3:D$530,2,)</f>
        <v>Tapioca Flour 茨粉</v>
      </c>
      <c r="E19" s="461"/>
      <c r="F19" s="461"/>
      <c r="G19" s="76">
        <v>5</v>
      </c>
      <c r="H19" s="85" t="str">
        <f>VLOOKUP(C19,'Sales Master'!$B$3:$F$2481,5,0)</f>
        <v xml:space="preserve">500 GM/pkt </v>
      </c>
      <c r="I19" s="497" t="str">
        <f>VLOOKUP(C19,'Sales Master'!$B$3:$E$2481,4,0)</f>
        <v>F/man 飞人</v>
      </c>
      <c r="J19" s="497"/>
      <c r="K19" s="30">
        <f>VLOOKUP(C19,'Sales Master'!$B$3:$AU$530,46,0)</f>
        <v>0.8</v>
      </c>
      <c r="L19" s="31">
        <f>K19*G19</f>
        <v>4</v>
      </c>
      <c r="M19" s="63"/>
    </row>
    <row r="20" spans="2:13" ht="20" customHeight="1" x14ac:dyDescent="0.45">
      <c r="B20" s="36"/>
      <c r="C20" s="212" t="s">
        <v>769</v>
      </c>
      <c r="D20" s="461" t="str">
        <f>VLOOKUP(C20,'Sales Master'!B$3:D$530,2,)</f>
        <v>Jelly Powder 文头雪粉 (Carrageenan)</v>
      </c>
      <c r="E20" s="461"/>
      <c r="F20" s="461"/>
      <c r="G20" s="76">
        <v>1</v>
      </c>
      <c r="H20" s="85" t="str">
        <f>VLOOKUP(C20,'Sales Master'!$B$3:$F$2481,5,0)</f>
        <v>42gm x 10PKT/Bag</v>
      </c>
      <c r="I20" s="497" t="str">
        <f>VLOOKUP(C20,'Sales Master'!$B$3:$E$2481,4,0)</f>
        <v>500/4000</v>
      </c>
      <c r="J20" s="497"/>
      <c r="K20" s="30">
        <f>VLOOKUP(C20,'Sales Master'!$B$3:$AU$530,46,0)</f>
        <v>28</v>
      </c>
      <c r="L20" s="31">
        <f>K20*G20</f>
        <v>28</v>
      </c>
      <c r="M20" s="63"/>
    </row>
    <row r="21" spans="2:13" ht="20" customHeight="1" x14ac:dyDescent="0.45">
      <c r="B21" s="36"/>
      <c r="C21" s="212" t="s">
        <v>829</v>
      </c>
      <c r="D21" s="461" t="str">
        <f>VLOOKUP(C21,'Sales Master'!B$3:D$530,2,)</f>
        <v>Atap Seeds in Syrup 亚嗒子</v>
      </c>
      <c r="E21" s="461"/>
      <c r="F21" s="461"/>
      <c r="G21" s="76">
        <v>4</v>
      </c>
      <c r="H21" s="85" t="str">
        <f>VLOOKUP(C21,'Sales Master'!$B$3:$F$2481,5,0)</f>
        <v>NW(1.6:0.6) 2.2kg/ Bag包</v>
      </c>
      <c r="I21" s="497" t="str">
        <f>VLOOKUP(C21,'Sales Master'!$B$3:$E$2481,4,0)</f>
        <v>DO!</v>
      </c>
      <c r="J21" s="497"/>
      <c r="K21" s="30">
        <f>VLOOKUP(C21,'Sales Master'!$B$3:$AU$530,46,0)</f>
        <v>9.5</v>
      </c>
      <c r="L21" s="31">
        <f>K21*G21</f>
        <v>38</v>
      </c>
      <c r="M21" s="63"/>
    </row>
    <row r="22" spans="2:13" ht="20" customHeight="1" x14ac:dyDescent="0.45">
      <c r="B22" s="36"/>
      <c r="C22" s="212" t="s">
        <v>832</v>
      </c>
      <c r="D22" s="461" t="str">
        <f>VLOOKUP(C22,'Sales Master'!B$3:D$530,2,)</f>
        <v>Selaseh (Basil Seed) 青蛙蛋</v>
      </c>
      <c r="E22" s="461"/>
      <c r="F22" s="461"/>
      <c r="G22" s="76">
        <v>1</v>
      </c>
      <c r="H22" s="85" t="str">
        <f>VLOOKUP(C22,'Sales Master'!$B$3:$F$2481,5,0)</f>
        <v>500 GM</v>
      </c>
      <c r="I22" s="497" t="str">
        <f>VLOOKUP(C22,'Sales Master'!$B$3:$E$2481,4,0)</f>
        <v>Tukhmaria</v>
      </c>
      <c r="J22" s="497"/>
      <c r="K22" s="30">
        <f>VLOOKUP(C22,'Sales Master'!$B$3:$AU$530,46,0)</f>
        <v>6</v>
      </c>
      <c r="L22" s="31">
        <f>K22*G22</f>
        <v>6</v>
      </c>
      <c r="M22" s="63"/>
    </row>
    <row r="23" spans="2:13" ht="20" customHeight="1" x14ac:dyDescent="0.45">
      <c r="B23" s="36"/>
      <c r="C23" s="212" t="s">
        <v>836</v>
      </c>
      <c r="D23" s="461" t="str">
        <f>VLOOKUP(C23,'Sales Master'!B$3:D$530,2,)</f>
        <v>Red Bean 红豆 (5.5 mm)</v>
      </c>
      <c r="E23" s="461"/>
      <c r="F23" s="461"/>
      <c r="G23" s="76">
        <v>6</v>
      </c>
      <c r="H23" s="85" t="str">
        <f>VLOOKUP(C23,'Sales Master'!$B$3:$F$2481,5,0)</f>
        <v>5 KG</v>
      </c>
      <c r="I23" s="497" t="str">
        <f>VLOOKUP(C23,'Sales Master'!$B$3:$E$2481,4,0)</f>
        <v>-</v>
      </c>
      <c r="J23" s="497"/>
      <c r="K23" s="30">
        <f>VLOOKUP(C23,'Sales Master'!$B$3:$AU$530,46,0)</f>
        <v>17.5</v>
      </c>
      <c r="L23" s="31">
        <f>K23*G23</f>
        <v>105</v>
      </c>
      <c r="M23" s="63"/>
    </row>
    <row r="24" spans="2:13" ht="20" customHeight="1" x14ac:dyDescent="0.45">
      <c r="B24" s="36"/>
      <c r="C24" s="212" t="s">
        <v>868</v>
      </c>
      <c r="D24" s="461" t="str">
        <f>VLOOKUP(C24,'Sales Master'!B$3:D$530,2,)</f>
        <v>White Wheat 大麦</v>
      </c>
      <c r="E24" s="461"/>
      <c r="F24" s="461"/>
      <c r="G24" s="76">
        <v>1</v>
      </c>
      <c r="H24" s="85" t="str">
        <f>VLOOKUP(C24,'Sales Master'!$B$3:$F$2481,5,0)</f>
        <v>10 PKT/ Bag</v>
      </c>
      <c r="I24" s="497" t="str">
        <f>VLOOKUP(C24,'Sales Master'!$B$3:$E$2481,4,0)</f>
        <v>-</v>
      </c>
      <c r="J24" s="497"/>
      <c r="K24" s="30">
        <f>VLOOKUP(C24,'Sales Master'!$B$3:$AU$530,46,0)</f>
        <v>9.5</v>
      </c>
      <c r="L24" s="31">
        <f>K24*G24</f>
        <v>9.5</v>
      </c>
      <c r="M24" s="63"/>
    </row>
    <row r="25" spans="2:13" ht="20" customHeight="1" x14ac:dyDescent="0.45">
      <c r="B25" s="36"/>
      <c r="C25" s="212" t="s">
        <v>870</v>
      </c>
      <c r="D25" s="461" t="str">
        <f>VLOOKUP(C25,'Sales Master'!B$3:D$530,2,)</f>
        <v>Pearl Barley 薏米</v>
      </c>
      <c r="E25" s="461"/>
      <c r="F25" s="461"/>
      <c r="G25" s="76">
        <v>1</v>
      </c>
      <c r="H25" s="85" t="str">
        <f>VLOOKUP(C25,'Sales Master'!$B$3:$F$2481,5,0)</f>
        <v>5 KG</v>
      </c>
      <c r="I25" s="497" t="str">
        <f>VLOOKUP(C25,'Sales Master'!$B$3:$E$2481,4,0)</f>
        <v>-</v>
      </c>
      <c r="J25" s="497"/>
      <c r="K25" s="30">
        <f>VLOOKUP(C25,'Sales Master'!$B$3:$AU$530,46,0)</f>
        <v>10</v>
      </c>
      <c r="L25" s="31">
        <f>K25*G25</f>
        <v>10</v>
      </c>
      <c r="M25" s="63"/>
    </row>
    <row r="26" spans="2:13" ht="20" customHeight="1" x14ac:dyDescent="0.45">
      <c r="B26" s="36"/>
      <c r="C26" s="212" t="s">
        <v>877</v>
      </c>
      <c r="D26" s="461" t="str">
        <f>VLOOKUP(C26,'Sales Master'!B$3:D$530,2,)</f>
        <v>Small Sago 小丸</v>
      </c>
      <c r="E26" s="461"/>
      <c r="F26" s="461"/>
      <c r="G26" s="76">
        <v>2</v>
      </c>
      <c r="H26" s="85" t="str">
        <f>VLOOKUP(C26,'Sales Master'!$B$3:$F$2481,5,0)</f>
        <v>5 KG</v>
      </c>
      <c r="I26" s="497" t="str">
        <f>VLOOKUP(C26,'Sales Master'!$B$3:$E$2481,4,0)</f>
        <v>-</v>
      </c>
      <c r="J26" s="497"/>
      <c r="K26" s="30">
        <f>VLOOKUP(C26,'Sales Master'!$B$3:$AU$530,46,0)</f>
        <v>10</v>
      </c>
      <c r="L26" s="31">
        <f t="shared" ref="L26:L32" si="1">K26*G26</f>
        <v>20</v>
      </c>
      <c r="M26" s="63"/>
    </row>
    <row r="27" spans="2:13" ht="20" customHeight="1" x14ac:dyDescent="0.45">
      <c r="B27" s="36"/>
      <c r="C27" s="212" t="s">
        <v>886</v>
      </c>
      <c r="D27" s="461" t="str">
        <f>VLOOKUP(C27,'Sales Master'!B$3:D$530,2,)</f>
        <v>Fungus黄 木耳朵</v>
      </c>
      <c r="E27" s="461"/>
      <c r="F27" s="461"/>
      <c r="G27" s="76">
        <v>1</v>
      </c>
      <c r="H27" s="85" t="str">
        <f>VLOOKUP(C27,'Sales Master'!$B$3:$F$2481,5,0)</f>
        <v>1 kg</v>
      </c>
      <c r="I27" s="497" t="str">
        <f>VLOOKUP(C27,'Sales Master'!$B$3:$E$2481,4,0)</f>
        <v>黄</v>
      </c>
      <c r="J27" s="497"/>
      <c r="K27" s="30">
        <f>VLOOKUP(C27,'Sales Master'!$B$3:$AU$530,46,0)</f>
        <v>16</v>
      </c>
      <c r="L27" s="31">
        <f>K27*G27</f>
        <v>16</v>
      </c>
      <c r="M27" s="63"/>
    </row>
    <row r="28" spans="2:13" ht="20" customHeight="1" x14ac:dyDescent="0.45">
      <c r="B28" s="36"/>
      <c r="C28" s="212" t="s">
        <v>980</v>
      </c>
      <c r="D28" s="461" t="str">
        <f>VLOOKUP(C28,'Sales Master'!B$3:D$530,2,)</f>
        <v>GingKo Nut 白果罐</v>
      </c>
      <c r="E28" s="461"/>
      <c r="F28" s="461"/>
      <c r="G28" s="76">
        <v>1</v>
      </c>
      <c r="H28" s="85" t="str">
        <f>VLOOKUP(C28,'Sales Master'!$B$3:$F$2481,5,0)</f>
        <v>397 GM x 24/ Ctn箱</v>
      </c>
      <c r="I28" s="497" t="str">
        <f>VLOOKUP(C28,'Sales Master'!$B$3:$E$2481,4,0)</f>
        <v>MiLi</v>
      </c>
      <c r="J28" s="497"/>
      <c r="K28" s="30">
        <f>VLOOKUP(C28,'Sales Master'!$B$3:$AU$530,46,0)</f>
        <v>32</v>
      </c>
      <c r="L28" s="31">
        <f>K28*G28</f>
        <v>32</v>
      </c>
      <c r="M28" s="63"/>
    </row>
    <row r="29" spans="2:13" ht="20" customHeight="1" x14ac:dyDescent="0.45">
      <c r="B29" s="36"/>
      <c r="C29" s="212" t="s">
        <v>990</v>
      </c>
      <c r="D29" s="461" t="str">
        <f>VLOOKUP(C29,'Sales Master'!B$3:D$530,2,)</f>
        <v>Coconut Milk 椰浆</v>
      </c>
      <c r="E29" s="461"/>
      <c r="F29" s="461"/>
      <c r="G29" s="76">
        <v>4</v>
      </c>
      <c r="H29" s="85" t="str">
        <f>VLOOKUP(C29,'Sales Master'!$B$3:$F$2481,5,0)</f>
        <v>(1L x 12bag)/箱</v>
      </c>
      <c r="I29" s="497" t="str">
        <f>VLOOKUP(C29,'Sales Master'!$B$3:$E$2481,4,0)</f>
        <v>Kara UHT</v>
      </c>
      <c r="J29" s="497"/>
      <c r="K29" s="30">
        <f>VLOOKUP(C29,'Sales Master'!$B$3:$AU$530,46,0)</f>
        <v>42</v>
      </c>
      <c r="L29" s="31">
        <f>K29*G29</f>
        <v>168</v>
      </c>
      <c r="M29" s="63"/>
    </row>
    <row r="30" spans="2:13" ht="20" customHeight="1" x14ac:dyDescent="0.45">
      <c r="B30" s="36"/>
      <c r="C30" s="212" t="s">
        <v>2258</v>
      </c>
      <c r="D30" s="461" t="str">
        <f>VLOOKUP(C30,'Sales Master'!B$3:D$530,2,)</f>
        <v>Longan in Syrup 龙眼</v>
      </c>
      <c r="E30" s="461"/>
      <c r="F30" s="461"/>
      <c r="G30" s="76">
        <v>4</v>
      </c>
      <c r="H30" s="85" t="str">
        <f>VLOOKUP(C30,'Sales Master'!$B$3:$F$2481,5,0)</f>
        <v>(565gm x 12)/ Ctn箱</v>
      </c>
      <c r="I30" s="497" t="str">
        <f>VLOOKUP(C30,'Sales Master'!$B$3:$E$2481,4,0)</f>
        <v>GoldenBoy</v>
      </c>
      <c r="J30" s="497"/>
      <c r="K30" s="30">
        <f>VLOOKUP(C30,'Sales Master'!$B$3:$AU$530,46,0)</f>
        <v>24</v>
      </c>
      <c r="L30" s="31">
        <f t="shared" si="1"/>
        <v>96</v>
      </c>
      <c r="M30" s="63"/>
    </row>
    <row r="31" spans="2:13" ht="20" customHeight="1" x14ac:dyDescent="0.45">
      <c r="B31" s="36"/>
      <c r="C31" s="212" t="s">
        <v>1031</v>
      </c>
      <c r="D31" s="461" t="str">
        <f>VLOOKUP(C31,'Sales Master'!B$3:D$530,2,)</f>
        <v>Yam 芋头</v>
      </c>
      <c r="E31" s="461"/>
      <c r="F31" s="461"/>
      <c r="G31" s="76">
        <v>2</v>
      </c>
      <c r="H31" s="85" t="str">
        <f>VLOOKUP(C31,'Sales Master'!$B$3:$F$2481,5,0)</f>
        <v>1 KG</v>
      </c>
      <c r="I31" s="497" t="str">
        <f>VLOOKUP(C31,'Sales Master'!$B$3:$E$2481,4,0)</f>
        <v>Malaysia</v>
      </c>
      <c r="J31" s="497"/>
      <c r="K31" s="30">
        <f>VLOOKUP(C31,'Sales Master'!$B$3:$AU$530,46,0)</f>
        <v>3</v>
      </c>
      <c r="L31" s="31">
        <f>K31*G31</f>
        <v>6</v>
      </c>
      <c r="M31" s="63"/>
    </row>
    <row r="32" spans="2:13" ht="20" customHeight="1" x14ac:dyDescent="0.45">
      <c r="B32" s="36"/>
      <c r="C32" s="212" t="s">
        <v>1033</v>
      </c>
      <c r="D32" s="461" t="str">
        <f>VLOOKUP(C32,'Sales Master'!B$3:D$530,2,)</f>
        <v>Pandan Leaf 班兰叶</v>
      </c>
      <c r="E32" s="461"/>
      <c r="F32" s="461"/>
      <c r="G32" s="76">
        <v>7</v>
      </c>
      <c r="H32" s="85" t="str">
        <f>VLOOKUP(C32,'Sales Master'!$B$3:$F$2481,5,0)</f>
        <v>1 KG</v>
      </c>
      <c r="I32" s="497" t="str">
        <f>VLOOKUP(C32,'Sales Master'!$B$3:$E$2481,4,0)</f>
        <v>-</v>
      </c>
      <c r="J32" s="497"/>
      <c r="K32" s="30">
        <f>VLOOKUP(C32,'Sales Master'!$B$3:$AU$530,46,0)</f>
        <v>1.8</v>
      </c>
      <c r="L32" s="31">
        <f t="shared" si="1"/>
        <v>12.6</v>
      </c>
      <c r="M32" s="63"/>
    </row>
    <row r="33" spans="2:22" ht="20" customHeight="1" x14ac:dyDescent="0.45">
      <c r="B33" s="36"/>
      <c r="C33" s="212"/>
      <c r="D33" s="461"/>
      <c r="E33" s="461"/>
      <c r="F33" s="461"/>
      <c r="G33" s="76"/>
      <c r="H33" s="85"/>
      <c r="I33" s="497"/>
      <c r="J33" s="497"/>
      <c r="K33" s="30"/>
      <c r="L33" s="31"/>
      <c r="M33" s="63"/>
    </row>
    <row r="34" spans="2:22" ht="20" customHeight="1" x14ac:dyDescent="0.45">
      <c r="B34" s="36"/>
      <c r="C34" s="212"/>
      <c r="G34" s="76"/>
      <c r="H34" s="85"/>
      <c r="I34" s="208"/>
      <c r="J34" s="208"/>
      <c r="K34" s="30"/>
      <c r="L34" s="31"/>
      <c r="M34" s="63"/>
    </row>
    <row r="35" spans="2:22" ht="20" customHeight="1" x14ac:dyDescent="0.45">
      <c r="B35" s="36"/>
      <c r="C35" s="149" t="s">
        <v>2317</v>
      </c>
      <c r="D35" s="403"/>
      <c r="E35" s="403"/>
      <c r="F35" s="403"/>
      <c r="G35" s="76"/>
      <c r="H35" s="186"/>
      <c r="I35" s="497"/>
      <c r="J35" s="497"/>
      <c r="K35" s="190"/>
      <c r="L35" s="31"/>
      <c r="M35" s="63"/>
    </row>
    <row r="36" spans="2:22" ht="20" customHeight="1" x14ac:dyDescent="0.45">
      <c r="B36" s="36"/>
      <c r="C36" s="212" t="s">
        <v>990</v>
      </c>
      <c r="D36" s="501" t="str">
        <f>VLOOKUP(C36,'[3]Sales Master'!B$3:D$663,2,0)</f>
        <v>Coconut Milk 椰浆</v>
      </c>
      <c r="E36" s="501"/>
      <c r="F36" s="501"/>
      <c r="G36" s="17">
        <v>1</v>
      </c>
      <c r="H36" s="186" t="str">
        <f>VLOOKUP(C36,'[3]Sales Master'!B$3:F$955,5,0)</f>
        <v>(1L x 12bag)/箱</v>
      </c>
      <c r="I36" s="497" t="str">
        <f>VLOOKUP(C36,'[3]Sales Master'!B$3:E$955,4,0)</f>
        <v>Kara UHT</v>
      </c>
      <c r="J36" s="497"/>
      <c r="K36" s="190">
        <v>48</v>
      </c>
      <c r="L36" s="31"/>
      <c r="M36" s="63"/>
    </row>
    <row r="37" spans="2:22" ht="20" customHeight="1" x14ac:dyDescent="0.45">
      <c r="B37" s="104"/>
      <c r="C37" s="105"/>
      <c r="D37" s="454"/>
      <c r="E37" s="454"/>
      <c r="F37" s="454"/>
      <c r="G37" s="105"/>
      <c r="H37" s="105"/>
      <c r="I37" s="124"/>
      <c r="J37" s="124"/>
      <c r="K37" s="108"/>
      <c r="L37" s="125"/>
      <c r="M37" s="63"/>
      <c r="S37" s="93">
        <f>SUM(S17:S32)</f>
        <v>0</v>
      </c>
      <c r="T37" s="93"/>
      <c r="U37" s="93"/>
      <c r="V37" s="93"/>
    </row>
    <row r="38" spans="2:22" ht="20.149999999999999" customHeight="1" thickBot="1" x14ac:dyDescent="0.5">
      <c r="B38" s="36"/>
      <c r="L38" s="37"/>
    </row>
    <row r="39" spans="2:2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SUM(L18:L38)</f>
        <v>575.1</v>
      </c>
      <c r="M39" s="63">
        <f>SUM(P18:P37)-L39*0.02</f>
        <v>-11.502000000000001</v>
      </c>
    </row>
    <row r="40" spans="2:2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2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575.1</v>
      </c>
    </row>
    <row r="42" spans="2:2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51.759</v>
      </c>
    </row>
    <row r="43" spans="2:22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626.85900000000004</v>
      </c>
    </row>
    <row r="44" spans="2:2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22" ht="20.149999999999999" customHeight="1" x14ac:dyDescent="0.45">
      <c r="B45" s="144" t="s">
        <v>690</v>
      </c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I35:J35"/>
    <mergeCell ref="D36:F36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K9:L9"/>
    <mergeCell ref="B15:D15"/>
    <mergeCell ref="D17:F17"/>
    <mergeCell ref="I24:J24"/>
    <mergeCell ref="I17:J17"/>
    <mergeCell ref="D18:F18"/>
    <mergeCell ref="I18:J18"/>
    <mergeCell ref="D24:F24"/>
    <mergeCell ref="D25:F25"/>
    <mergeCell ref="D21:F21"/>
    <mergeCell ref="I27:J27"/>
    <mergeCell ref="I28:J28"/>
    <mergeCell ref="I23:J23"/>
    <mergeCell ref="I25:J25"/>
    <mergeCell ref="I21:J21"/>
    <mergeCell ref="I26:J26"/>
    <mergeCell ref="I30:J30"/>
    <mergeCell ref="I22:J22"/>
    <mergeCell ref="D29:F29"/>
    <mergeCell ref="I20:J20"/>
    <mergeCell ref="I29:J29"/>
    <mergeCell ref="D20:F20"/>
    <mergeCell ref="J43:K43"/>
    <mergeCell ref="J41:K41"/>
    <mergeCell ref="J39:K39"/>
    <mergeCell ref="D37:F37"/>
    <mergeCell ref="D19:F19"/>
    <mergeCell ref="I19:J19"/>
    <mergeCell ref="D26:F26"/>
    <mergeCell ref="D30:F30"/>
    <mergeCell ref="D22:F22"/>
    <mergeCell ref="D27:F27"/>
    <mergeCell ref="D28:F28"/>
    <mergeCell ref="D23:F23"/>
    <mergeCell ref="D33:F33"/>
    <mergeCell ref="I31:J31"/>
    <mergeCell ref="I33:J33"/>
    <mergeCell ref="D32:F32"/>
    <mergeCell ref="I32:J32"/>
    <mergeCell ref="D31:F31"/>
  </mergeCells>
  <conditionalFormatting sqref="C35">
    <cfRule type="duplicateValues" dxfId="164" priority="1"/>
  </conditionalFormatting>
  <pageMargins left="0.51181102362204722" right="0.39370078740157483" top="0" bottom="0" header="0.31496062992125984" footer="0.31496062992125984"/>
  <pageSetup paperSize="9" scale="7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6"/>
  <sheetViews>
    <sheetView topLeftCell="B17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</v>
      </c>
      <c r="J10" s="24" t="s">
        <v>27</v>
      </c>
      <c r="K10" s="493">
        <v>202501024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WaterWay Point                                            83 Punggol Central #02-20/21 Singapore 828761                               (Dessert)</v>
      </c>
      <c r="G11" s="481"/>
      <c r="H11" s="482"/>
      <c r="J11" s="26" t="s">
        <v>9</v>
      </c>
      <c r="K11" s="495">
        <v>45659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197" t="s">
        <v>29</v>
      </c>
      <c r="I17" s="470" t="s">
        <v>53</v>
      </c>
      <c r="J17" s="472"/>
      <c r="K17" s="9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801</v>
      </c>
      <c r="D18" s="492" t="str">
        <f>VLOOKUP(C18,'Sales Master'!B$3:D$530,2,)</f>
        <v>Sweet Potato Powder 番薯粉</v>
      </c>
      <c r="E18" s="492"/>
      <c r="F18" s="492"/>
      <c r="G18" s="17">
        <v>2</v>
      </c>
      <c r="H18" s="188" t="str">
        <f>VLOOKUP(C18,'Sales Master'!$B$3:$F$2413,5,0)</f>
        <v>(500gm x 20Pkt)包</v>
      </c>
      <c r="I18" s="497" t="str">
        <f>VLOOKUP(C18,'Sales Master'!$B$3:$E$2413,4,0)</f>
        <v>RE-PACK</v>
      </c>
      <c r="J18" s="497"/>
      <c r="K18" s="30">
        <f>VLOOKUP(C18,'Sales Master'!B$3:AO$530,40,0)</f>
        <v>32</v>
      </c>
      <c r="L18" s="64">
        <f t="shared" ref="L18" si="0">K18*G18</f>
        <v>64</v>
      </c>
      <c r="M18" s="65"/>
      <c r="N18" s="145">
        <f>VLOOKUP(C18,'Sales Master'!$B$3:$DA$2272,104,0)</f>
        <v>24.8</v>
      </c>
      <c r="O18" s="145">
        <f t="shared" ref="O18" si="1">K18-N18</f>
        <v>7.1999999999999993</v>
      </c>
      <c r="P18" s="145">
        <f t="shared" ref="P18" si="2">O18*G18</f>
        <v>14.399999999999999</v>
      </c>
    </row>
    <row r="19" spans="2:16" ht="20.149999999999999" customHeight="1" x14ac:dyDescent="0.45">
      <c r="B19" s="29"/>
      <c r="C19" s="212" t="s">
        <v>741</v>
      </c>
      <c r="D19" s="498" t="str">
        <f>VLOOKUP(C19,'Sales Master'!B$3:D$530,2,)</f>
        <v>Pong Thai Hai (Wet) 碰大海(湿)</v>
      </c>
      <c r="E19" s="498"/>
      <c r="F19" s="498"/>
      <c r="G19" s="17">
        <v>4</v>
      </c>
      <c r="H19" s="186" t="str">
        <f>VLOOKUP(C19,'Sales Master'!$B$3:$F$2413,5,0)</f>
        <v>1 KG/ Pkt包</v>
      </c>
      <c r="I19" s="497" t="str">
        <f>VLOOKUP(C19,'Sales Master'!$B$3:$E$2413,4,0)</f>
        <v>DO!</v>
      </c>
      <c r="J19" s="497"/>
      <c r="K19" s="30">
        <f>VLOOKUP(C19,'Sales Master'!B$3:AO$530,40,0)</f>
        <v>10</v>
      </c>
      <c r="L19" s="64">
        <f>K19*G19</f>
        <v>40</v>
      </c>
      <c r="M19" s="65"/>
      <c r="N19" s="145">
        <f>VLOOKUP(C19,'Sales Master'!$B$3:$DA$2272,104,0)</f>
        <v>0.9</v>
      </c>
      <c r="O19" s="145">
        <f>K19-N19</f>
        <v>9.1</v>
      </c>
      <c r="P19" s="145">
        <f>O19*G19</f>
        <v>36.4</v>
      </c>
    </row>
    <row r="20" spans="2:16" ht="20.149999999999999" customHeight="1" x14ac:dyDescent="0.45">
      <c r="B20" s="29"/>
      <c r="C20" s="212" t="s">
        <v>990</v>
      </c>
      <c r="D20" s="461" t="str">
        <f>VLOOKUP(C20,'Sales Master'!B$3:D$530,2,)</f>
        <v>Coconut Milk 椰浆</v>
      </c>
      <c r="E20" s="461"/>
      <c r="F20" s="461"/>
      <c r="G20" s="17">
        <v>5</v>
      </c>
      <c r="H20" s="186" t="str">
        <f>VLOOKUP(C20,'Sales Master'!$B$3:$F$2413,5,0)</f>
        <v>(1L x 12bag)/箱</v>
      </c>
      <c r="I20" s="497" t="str">
        <f>VLOOKUP(C20,'Sales Master'!$B$3:$E$2413,4,0)</f>
        <v>Kara UHT</v>
      </c>
      <c r="J20" s="497"/>
      <c r="K20" s="30">
        <f>VLOOKUP(C20,'Sales Master'!B$3:AO$530,40,0)</f>
        <v>42</v>
      </c>
      <c r="L20" s="64">
        <f t="shared" ref="L20" si="3">K20*G20</f>
        <v>210</v>
      </c>
      <c r="M20" s="65"/>
      <c r="N20" s="145">
        <f>VLOOKUP(C20,'Sales Master'!$B$3:$DA$2272,104,0)</f>
        <v>35.799999999999997</v>
      </c>
      <c r="O20" s="145">
        <f t="shared" ref="O20" si="4">K20-N20</f>
        <v>6.2000000000000028</v>
      </c>
      <c r="P20" s="145">
        <f t="shared" ref="P20" si="5">O20*G20</f>
        <v>31.000000000000014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49" t="s">
        <v>2317</v>
      </c>
      <c r="D25" s="403"/>
      <c r="E25" s="403"/>
      <c r="F25" s="403"/>
      <c r="G25" s="76"/>
      <c r="H25" s="186"/>
      <c r="I25" s="497"/>
      <c r="J25" s="497"/>
      <c r="K25" s="19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 t="s">
        <v>990</v>
      </c>
      <c r="D26" s="501" t="str">
        <f>VLOOKUP(C26,'[3]Sales Master'!B$3:D$663,2,0)</f>
        <v>Coconut Milk 椰浆</v>
      </c>
      <c r="E26" s="501"/>
      <c r="F26" s="501"/>
      <c r="G26" s="17">
        <v>1</v>
      </c>
      <c r="H26" s="186" t="str">
        <f>VLOOKUP(C26,'[3]Sales Master'!B$3:F$955,5,0)</f>
        <v>(1L x 12bag)/箱</v>
      </c>
      <c r="I26" s="497" t="str">
        <f>VLOOKUP(C26,'[3]Sales Master'!B$3:E$955,4,0)</f>
        <v>Kara UHT</v>
      </c>
      <c r="J26" s="497"/>
      <c r="K26" s="190">
        <v>48</v>
      </c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8"/>
      <c r="I28" s="497"/>
      <c r="J28" s="497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SUM(L17:L32)</f>
        <v>314</v>
      </c>
      <c r="M33" s="63">
        <f>SUM(P18:P28)-L33*0.02</f>
        <v>75.52000000000001</v>
      </c>
      <c r="N33" s="133">
        <f>M33/L33</f>
        <v>0.24050955414012742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314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28.259999999999998</v>
      </c>
    </row>
    <row r="37" spans="2:14" ht="20.149999999999999" customHeight="1" thickBot="1" x14ac:dyDescent="0.5">
      <c r="B37" s="10" t="s">
        <v>700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342.26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690</v>
      </c>
      <c r="C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C44" s="45"/>
      <c r="J44" s="19" t="s">
        <v>26</v>
      </c>
      <c r="L44" s="37"/>
    </row>
    <row r="45" spans="2:14" ht="19" thickBot="1" x14ac:dyDescent="0.5">
      <c r="B45" s="47"/>
      <c r="C45" s="12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19" thickBot="1" x14ac:dyDescent="0.5">
      <c r="C46" s="48"/>
    </row>
  </sheetData>
  <mergeCells count="41">
    <mergeCell ref="B14:D14"/>
    <mergeCell ref="D21:F21"/>
    <mergeCell ref="I27:J27"/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K14:L14"/>
    <mergeCell ref="D28:F28"/>
    <mergeCell ref="D22:F22"/>
    <mergeCell ref="I28:J28"/>
    <mergeCell ref="I22:J22"/>
    <mergeCell ref="I20:J20"/>
    <mergeCell ref="B15:D15"/>
    <mergeCell ref="D24:F24"/>
    <mergeCell ref="D23:F23"/>
    <mergeCell ref="D20:F20"/>
    <mergeCell ref="I23:J23"/>
    <mergeCell ref="J37:K37"/>
    <mergeCell ref="I18:J18"/>
    <mergeCell ref="D19:F19"/>
    <mergeCell ref="I19:J19"/>
    <mergeCell ref="I25:J25"/>
    <mergeCell ref="D31:F31"/>
    <mergeCell ref="J33:K33"/>
    <mergeCell ref="J35:K35"/>
    <mergeCell ref="I31:J31"/>
    <mergeCell ref="I24:J24"/>
    <mergeCell ref="D27:F27"/>
    <mergeCell ref="I21:J21"/>
    <mergeCell ref="D26:F26"/>
    <mergeCell ref="I26:J26"/>
    <mergeCell ref="D18:F18"/>
  </mergeCells>
  <conditionalFormatting sqref="C25">
    <cfRule type="duplicateValues" dxfId="163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60"/>
  <sheetViews>
    <sheetView topLeftCell="A14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293</v>
      </c>
      <c r="J10" s="24" t="s">
        <v>27</v>
      </c>
      <c r="K10" s="493">
        <v>202411638</v>
      </c>
      <c r="L10" s="494"/>
    </row>
    <row r="11" spans="2:12" ht="20.149999999999999" customHeight="1" x14ac:dyDescent="0.45">
      <c r="B11" s="477" t="s">
        <v>483</v>
      </c>
      <c r="C11" s="478"/>
      <c r="D11" s="479"/>
      <c r="E11" s="25"/>
      <c r="F11" s="480" t="str">
        <f>VLOOKUP(H10,'Delivery Location'!A$4:N$460,2,0)</f>
        <v xml:space="preserve">ECREATIVE CATERING PTE LTD             Blk 15, Woodlands Loop                      #04-33   Singapore 738322                                    </v>
      </c>
      <c r="G11" s="481"/>
      <c r="H11" s="482"/>
      <c r="J11" s="26" t="s">
        <v>9</v>
      </c>
      <c r="K11" s="495">
        <v>45626</v>
      </c>
      <c r="L11" s="496"/>
    </row>
    <row r="12" spans="2:12" ht="20.149999999999999" customHeight="1" x14ac:dyDescent="0.45">
      <c r="B12" s="488" t="s">
        <v>484</v>
      </c>
      <c r="C12" s="449"/>
      <c r="D12" s="489"/>
      <c r="E12" s="25"/>
      <c r="F12" s="483"/>
      <c r="G12" s="484"/>
      <c r="H12" s="485"/>
      <c r="J12" s="26" t="s">
        <v>145</v>
      </c>
      <c r="K12" s="506" t="s">
        <v>34</v>
      </c>
      <c r="L12" s="507"/>
    </row>
    <row r="13" spans="2:12" ht="20.149999999999999" customHeight="1" x14ac:dyDescent="0.45">
      <c r="B13" s="488" t="s">
        <v>485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 t="s">
        <v>477</v>
      </c>
      <c r="L15" s="469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53</v>
      </c>
      <c r="I17" s="470" t="s">
        <v>406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5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17">
        <v>7</v>
      </c>
      <c r="H18" s="208" t="str">
        <f>VLOOKUP(C18,'Sales Master'!$B$3:$E$530,4,0)</f>
        <v>DO!</v>
      </c>
      <c r="I18" s="516" t="str">
        <f>VLOOKUP(C18,'Sales Master'!$B$3:F$530,5,0)</f>
        <v>NW(2.2:0.8) 3kg/ Bag包</v>
      </c>
      <c r="J18" s="516"/>
      <c r="K18" s="30">
        <f>VLOOKUP(C18,'Sales Master'!B$3:AM$530,38,0)</f>
        <v>7</v>
      </c>
      <c r="L18" s="64">
        <f t="shared" ref="L18:L30" si="0">K18*G18</f>
        <v>49</v>
      </c>
      <c r="M18" s="65"/>
      <c r="N18" s="145">
        <f>VLOOKUP(C18,'Sales Master'!$B$3:$DA$2272,104,0)</f>
        <v>2.44</v>
      </c>
      <c r="O18" s="145">
        <f t="shared" ref="O18:O30" si="1">K18-N18</f>
        <v>4.5600000000000005</v>
      </c>
      <c r="P18" s="145">
        <f t="shared" ref="P18:P30" si="2">O18*G18</f>
        <v>31.92</v>
      </c>
      <c r="R18" s="19">
        <v>2</v>
      </c>
      <c r="S18" s="19" t="s">
        <v>54</v>
      </c>
      <c r="T18" s="19" t="s">
        <v>32</v>
      </c>
      <c r="V18" s="19">
        <v>5</v>
      </c>
      <c r="Y18" s="19">
        <v>50</v>
      </c>
    </row>
    <row r="19" spans="2:25" ht="20.149999999999999" customHeight="1" x14ac:dyDescent="0.45">
      <c r="B19" s="29"/>
      <c r="C19" s="212" t="s">
        <v>741</v>
      </c>
      <c r="D19" s="498" t="str">
        <f>VLOOKUP(C19,'Sales Master'!B$3:D$530,2,)</f>
        <v>Pong Thai Hai (Wet) 碰大海(湿)</v>
      </c>
      <c r="E19" s="498"/>
      <c r="F19" s="498"/>
      <c r="G19" s="17">
        <v>5</v>
      </c>
      <c r="H19" s="208" t="str">
        <f>VLOOKUP(C19,'Sales Master'!$B$3:$E$530,4,0)</f>
        <v>DO!</v>
      </c>
      <c r="I19" s="516" t="str">
        <f>VLOOKUP(C19,'Sales Master'!$B$3:F$530,5,0)</f>
        <v>1 KG/ Pkt包</v>
      </c>
      <c r="J19" s="516"/>
      <c r="K19" s="30">
        <f>VLOOKUP(C19,'Sales Master'!B$3:AM$530,38,0)</f>
        <v>10</v>
      </c>
      <c r="L19" s="64">
        <f t="shared" ref="L19:L28" si="3">K19*G19</f>
        <v>50</v>
      </c>
      <c r="M19" s="65"/>
      <c r="N19" s="145">
        <f>VLOOKUP(C19,'Sales Master'!$B$3:$DA$2272,104,0)</f>
        <v>0.9</v>
      </c>
      <c r="O19" s="145">
        <f t="shared" ref="O19:O28" si="4">K19-N19</f>
        <v>9.1</v>
      </c>
      <c r="P19" s="145">
        <f t="shared" ref="P19:P28" si="5">O19*G19</f>
        <v>45.5</v>
      </c>
      <c r="R19" s="19">
        <v>1</v>
      </c>
      <c r="S19" s="19" t="s">
        <v>34</v>
      </c>
      <c r="T19" s="19" t="s">
        <v>32</v>
      </c>
      <c r="V19" s="19">
        <v>2.5</v>
      </c>
      <c r="Y19" s="19">
        <v>50</v>
      </c>
    </row>
    <row r="20" spans="2:25" ht="20.149999999999999" customHeight="1" x14ac:dyDescent="0.45">
      <c r="B20" s="29"/>
      <c r="C20" s="212" t="s">
        <v>757</v>
      </c>
      <c r="D20" s="461" t="str">
        <f>VLOOKUP(C20,'Sales Master'!B$3:D$530,2,)</f>
        <v>Tadpole JELLY  蝌蚪</v>
      </c>
      <c r="E20" s="461"/>
      <c r="F20" s="461"/>
      <c r="G20" s="17">
        <v>8</v>
      </c>
      <c r="H20" s="210" t="str">
        <f>VLOOKUP(C20,'Sales Master'!$B$3:$E$530,4,0)</f>
        <v>FJ</v>
      </c>
      <c r="I20" s="516" t="str">
        <f>VLOOKUP(C20,'Sales Master'!$B$3:F$530,5,0)</f>
        <v>1 KG/ Bag包</v>
      </c>
      <c r="J20" s="516"/>
      <c r="K20" s="30">
        <f>VLOOKUP(C20,'Sales Master'!B$3:AM$530,38,0)</f>
        <v>6.5</v>
      </c>
      <c r="L20" s="64">
        <f t="shared" si="3"/>
        <v>52</v>
      </c>
      <c r="M20" s="65"/>
      <c r="N20" s="145">
        <f>VLOOKUP(C20,'Sales Master'!$B$3:$DA$2272,104,0)</f>
        <v>5.5</v>
      </c>
      <c r="O20" s="145">
        <f t="shared" si="4"/>
        <v>1</v>
      </c>
      <c r="P20" s="145">
        <f t="shared" si="5"/>
        <v>8</v>
      </c>
    </row>
    <row r="21" spans="2:25" ht="20.149999999999999" customHeight="1" x14ac:dyDescent="0.45">
      <c r="B21" s="29"/>
      <c r="C21" s="212" t="s">
        <v>836</v>
      </c>
      <c r="D21" s="461" t="str">
        <f>VLOOKUP(C21,'Sales Master'!B$3:D$530,2,)</f>
        <v>Red Bean 红豆 (5.5 mm)</v>
      </c>
      <c r="E21" s="461"/>
      <c r="F21" s="461"/>
      <c r="G21" s="17">
        <v>2</v>
      </c>
      <c r="H21" s="208" t="str">
        <f>VLOOKUP(C21,'Sales Master'!$B$3:$E$530,4,0)</f>
        <v>-</v>
      </c>
      <c r="I21" s="516" t="str">
        <f>VLOOKUP(C21,'Sales Master'!$B$3:F$530,5,0)</f>
        <v>5 KG</v>
      </c>
      <c r="J21" s="516"/>
      <c r="K21" s="30">
        <f>VLOOKUP(C21,'Sales Master'!B$3:AM$530,38,0)</f>
        <v>19</v>
      </c>
      <c r="L21" s="64">
        <f t="shared" si="3"/>
        <v>38</v>
      </c>
      <c r="M21" s="65"/>
      <c r="N21" s="145">
        <f>VLOOKUP(C21,'Sales Master'!$B$3:$DA$2272,104,0)</f>
        <v>12.5</v>
      </c>
      <c r="O21" s="145">
        <f t="shared" si="4"/>
        <v>6.5</v>
      </c>
      <c r="P21" s="145">
        <f t="shared" si="5"/>
        <v>13</v>
      </c>
    </row>
    <row r="22" spans="2:25" ht="20.149999999999999" customHeight="1" x14ac:dyDescent="0.45">
      <c r="B22" s="29"/>
      <c r="C22" s="212" t="s">
        <v>873</v>
      </c>
      <c r="D22" s="461" t="str">
        <f>VLOOKUP(C22,'Sales Master'!B$3:D$530,2,)</f>
        <v>Big Sago 大丸</v>
      </c>
      <c r="E22" s="461"/>
      <c r="F22" s="461"/>
      <c r="G22" s="17">
        <v>2</v>
      </c>
      <c r="H22" s="208" t="str">
        <f>VLOOKUP(C22,'Sales Master'!$B$3:$E$530,4,0)</f>
        <v>-</v>
      </c>
      <c r="I22" s="516" t="str">
        <f>VLOOKUP(C22,'Sales Master'!$B$3:F$530,5,0)</f>
        <v>5 KG</v>
      </c>
      <c r="J22" s="516"/>
      <c r="K22" s="30">
        <f>VLOOKUP(C22,'Sales Master'!B$3:AM$530,38,0)</f>
        <v>11</v>
      </c>
      <c r="L22" s="64">
        <f t="shared" si="3"/>
        <v>22</v>
      </c>
      <c r="M22" s="65"/>
      <c r="N22" s="145">
        <f>VLOOKUP(C22,'Sales Master'!$B$3:$DA$2272,104,0)</f>
        <v>8.5</v>
      </c>
      <c r="O22" s="145">
        <f t="shared" si="4"/>
        <v>2.5</v>
      </c>
      <c r="P22" s="145">
        <f t="shared" si="5"/>
        <v>5</v>
      </c>
    </row>
    <row r="23" spans="2:25" ht="20.149999999999999" customHeight="1" x14ac:dyDescent="0.45">
      <c r="B23" s="29"/>
      <c r="C23" s="212" t="s">
        <v>877</v>
      </c>
      <c r="D23" s="461" t="str">
        <f>VLOOKUP(C23,'Sales Master'!B$3:D$530,2,)</f>
        <v>Small Sago 小丸</v>
      </c>
      <c r="E23" s="461"/>
      <c r="F23" s="461"/>
      <c r="G23" s="17">
        <v>3</v>
      </c>
      <c r="H23" s="210" t="str">
        <f>VLOOKUP(C23,'Sales Master'!$B$3:$E$530,4,0)</f>
        <v>-</v>
      </c>
      <c r="I23" s="516" t="str">
        <f>VLOOKUP(C23,'Sales Master'!$B$3:F$530,5,0)</f>
        <v>5 KG</v>
      </c>
      <c r="J23" s="516"/>
      <c r="K23" s="30">
        <f>VLOOKUP(C23,'Sales Master'!B$3:AM$530,38,0)</f>
        <v>11</v>
      </c>
      <c r="L23" s="64">
        <f t="shared" si="3"/>
        <v>33</v>
      </c>
      <c r="M23" s="65"/>
      <c r="N23" s="145">
        <f>VLOOKUP(C23,'Sales Master'!$B$3:$DA$2272,104,0)</f>
        <v>0.70833333333333326</v>
      </c>
      <c r="O23" s="145">
        <f t="shared" si="4"/>
        <v>10.291666666666666</v>
      </c>
      <c r="P23" s="145">
        <f t="shared" si="5"/>
        <v>30.875</v>
      </c>
    </row>
    <row r="24" spans="2:25" ht="20.149999999999999" customHeight="1" x14ac:dyDescent="0.45">
      <c r="B24" s="29"/>
      <c r="C24" s="212" t="s">
        <v>880</v>
      </c>
      <c r="D24" s="461" t="str">
        <f>VLOOKUP(C24,'Sales Master'!B$3:D$530,2,)</f>
        <v>Dried Longan 龙眼干</v>
      </c>
      <c r="E24" s="461"/>
      <c r="F24" s="461"/>
      <c r="G24" s="17">
        <v>23</v>
      </c>
      <c r="H24" s="208" t="str">
        <f>VLOOKUP(C24,'Sales Master'!$B$3:$E$530,4,0)</f>
        <v>TL</v>
      </c>
      <c r="I24" s="516" t="str">
        <f>VLOOKUP(C24,'Sales Master'!$B$3:F$530,5,0)</f>
        <v>1 kg</v>
      </c>
      <c r="J24" s="516"/>
      <c r="K24" s="30">
        <f>VLOOKUP(C24,'Sales Master'!B$3:AM$530,38,0)</f>
        <v>13</v>
      </c>
      <c r="L24" s="64">
        <f t="shared" si="3"/>
        <v>299</v>
      </c>
      <c r="M24" s="65"/>
      <c r="N24" s="145">
        <f>VLOOKUP(C24,'Sales Master'!$B$3:$DA$2272,104,0)</f>
        <v>8.8000000000000007</v>
      </c>
      <c r="O24" s="145">
        <f t="shared" si="4"/>
        <v>4.1999999999999993</v>
      </c>
      <c r="P24" s="145">
        <f t="shared" si="5"/>
        <v>96.59999999999998</v>
      </c>
    </row>
    <row r="25" spans="2:25" ht="20.149999999999999" customHeight="1" x14ac:dyDescent="0.45">
      <c r="B25" s="29"/>
      <c r="C25" s="212" t="s">
        <v>970</v>
      </c>
      <c r="D25" s="461" t="str">
        <f>VLOOKUP(C25,'Sales Master'!B$3:D$530,2,)</f>
        <v>Carnation Milk 三花淡奶水</v>
      </c>
      <c r="E25" s="461"/>
      <c r="F25" s="461"/>
      <c r="G25" s="17">
        <v>3</v>
      </c>
      <c r="H25" s="210" t="str">
        <f>VLOOKUP(C25,'Sales Master'!$B$3:$E$530,4,0)</f>
        <v>Threeflower</v>
      </c>
      <c r="I25" s="516" t="str">
        <f>VLOOKUP(C25,'Sales Master'!$B$3:F$530,5,0)</f>
        <v>405 GM x 48/ Ctn箱</v>
      </c>
      <c r="J25" s="516"/>
      <c r="K25" s="30">
        <f>VLOOKUP(C25,'Sales Master'!B$3:AM$530,38,0)</f>
        <v>58</v>
      </c>
      <c r="L25" s="64">
        <f t="shared" si="3"/>
        <v>174</v>
      </c>
      <c r="M25" s="65"/>
      <c r="N25" s="145">
        <f>VLOOKUP(C25,'Sales Master'!$B$3:$DA$2272,104,0)</f>
        <v>52</v>
      </c>
      <c r="O25" s="145">
        <f t="shared" si="4"/>
        <v>6</v>
      </c>
      <c r="P25" s="145">
        <f t="shared" si="5"/>
        <v>18</v>
      </c>
    </row>
    <row r="26" spans="2:25" ht="20.149999999999999" customHeight="1" x14ac:dyDescent="0.45">
      <c r="B26" s="29"/>
      <c r="C26" s="212" t="s">
        <v>993</v>
      </c>
      <c r="D26" s="461" t="str">
        <f>VLOOKUP(C26,'Sales Master'!B$3:D$530,2,)</f>
        <v>Coconut Milk 椰浆</v>
      </c>
      <c r="E26" s="461"/>
      <c r="F26" s="461"/>
      <c r="G26" s="17">
        <v>37</v>
      </c>
      <c r="H26" s="208" t="str">
        <f>VLOOKUP(C26,'Sales Master'!$B$3:$E$530,4,0)</f>
        <v>Sin-ind</v>
      </c>
      <c r="I26" s="516" t="str">
        <f>VLOOKUP(C26,'Sales Master'!$B$3:F$530,5,0)</f>
        <v>(1L x 12bag)/箱</v>
      </c>
      <c r="J26" s="516"/>
      <c r="K26" s="30">
        <f>VLOOKUP(C26,'Sales Master'!B$3:AM$530,38,0)</f>
        <v>39</v>
      </c>
      <c r="L26" s="64">
        <f t="shared" si="3"/>
        <v>1443</v>
      </c>
      <c r="M26" s="65"/>
      <c r="N26" s="145">
        <f>VLOOKUP(C26,'Sales Master'!$B$3:$DA$2272,104,0)</f>
        <v>30.530973451327434</v>
      </c>
      <c r="O26" s="145">
        <f t="shared" si="4"/>
        <v>8.4690265486725664</v>
      </c>
      <c r="P26" s="145">
        <f t="shared" si="5"/>
        <v>313.35398230088498</v>
      </c>
      <c r="R26" s="19">
        <v>4</v>
      </c>
      <c r="S26" s="19" t="s">
        <v>34</v>
      </c>
    </row>
    <row r="27" spans="2:25" ht="20.149999999999999" customHeight="1" x14ac:dyDescent="0.45">
      <c r="B27" s="29"/>
      <c r="C27" s="212" t="s">
        <v>1028</v>
      </c>
      <c r="D27" s="461" t="str">
        <f>VLOOKUP(C27,'Sales Master'!B$3:D$530,2,)</f>
        <v>Sweet Potato 番薯</v>
      </c>
      <c r="E27" s="461"/>
      <c r="F27" s="461"/>
      <c r="G27" s="17">
        <v>15.2</v>
      </c>
      <c r="H27" s="210" t="str">
        <f>VLOOKUP(C27,'Sales Master'!$B$3:$E$530,4,0)</f>
        <v>-</v>
      </c>
      <c r="I27" s="516" t="str">
        <f>VLOOKUP(C27,'Sales Master'!$B$3:F$530,5,0)</f>
        <v>1 KG</v>
      </c>
      <c r="J27" s="516"/>
      <c r="K27" s="30">
        <f>VLOOKUP(C27,'Sales Master'!B$3:AM$530,38,0)</f>
        <v>2.8</v>
      </c>
      <c r="L27" s="64">
        <f t="shared" si="3"/>
        <v>42.559999999999995</v>
      </c>
      <c r="M27" s="65"/>
      <c r="N27" s="145">
        <f>VLOOKUP(C27,'Sales Master'!$B$3:$DA$2272,104,0)</f>
        <v>1.675</v>
      </c>
      <c r="O27" s="145">
        <f t="shared" si="4"/>
        <v>1.1249999999999998</v>
      </c>
      <c r="P27" s="145">
        <f t="shared" si="5"/>
        <v>17.099999999999994</v>
      </c>
      <c r="R27" s="19">
        <v>4</v>
      </c>
      <c r="S27" s="19" t="s">
        <v>34</v>
      </c>
      <c r="T27" s="19" t="s">
        <v>32</v>
      </c>
      <c r="V27" s="19">
        <v>1.5</v>
      </c>
      <c r="Y27" s="19">
        <v>190</v>
      </c>
    </row>
    <row r="28" spans="2:25" ht="20.149999999999999" customHeight="1" x14ac:dyDescent="0.45">
      <c r="B28" s="29"/>
      <c r="C28" s="212" t="s">
        <v>1030</v>
      </c>
      <c r="D28" s="461" t="str">
        <f>VLOOKUP(C28,'Sales Master'!B$3:D$530,2,)</f>
        <v>Yam 芋头</v>
      </c>
      <c r="E28" s="461"/>
      <c r="F28" s="461"/>
      <c r="G28" s="17">
        <v>5.0999999999999996</v>
      </c>
      <c r="H28" s="208" t="str">
        <f>VLOOKUP(C28,'Sales Master'!$B$3:$E$530,4,0)</f>
        <v>Thailand</v>
      </c>
      <c r="I28" s="516" t="str">
        <f>VLOOKUP(C28,'Sales Master'!$B$3:F$530,5,0)</f>
        <v>1 KG</v>
      </c>
      <c r="J28" s="516"/>
      <c r="K28" s="30">
        <f>VLOOKUP(C28,'Sales Master'!B$3:AM$530,38,0)</f>
        <v>5.5</v>
      </c>
      <c r="L28" s="64">
        <f t="shared" si="3"/>
        <v>28.049999999999997</v>
      </c>
      <c r="M28" s="65"/>
      <c r="N28" s="145">
        <f>VLOOKUP(C28,'Sales Master'!$B$3:$DA$2272,104,0)</f>
        <v>2.6</v>
      </c>
      <c r="O28" s="145">
        <f t="shared" si="4"/>
        <v>2.9</v>
      </c>
      <c r="P28" s="145">
        <f t="shared" si="5"/>
        <v>14.79</v>
      </c>
      <c r="Y28" s="19">
        <v>152</v>
      </c>
    </row>
    <row r="29" spans="2:25" ht="20.149999999999999" customHeight="1" x14ac:dyDescent="0.45">
      <c r="B29" s="29"/>
      <c r="C29" s="212" t="s">
        <v>1033</v>
      </c>
      <c r="D29" s="461" t="str">
        <f>VLOOKUP(C29,'Sales Master'!B$3:D$530,2,)</f>
        <v>Pandan Leaf 班兰叶</v>
      </c>
      <c r="E29" s="461"/>
      <c r="F29" s="461"/>
      <c r="G29" s="17">
        <v>5</v>
      </c>
      <c r="H29" s="208" t="str">
        <f>VLOOKUP(C29,'Sales Master'!$B$3:$E$530,4,0)</f>
        <v>-</v>
      </c>
      <c r="I29" s="516" t="str">
        <f>VLOOKUP(C29,'Sales Master'!$B$3:F$530,5,0)</f>
        <v>1 KG</v>
      </c>
      <c r="J29" s="516"/>
      <c r="K29" s="30">
        <f>VLOOKUP(C29,'Sales Master'!B$3:AM$530,38,0)</f>
        <v>2</v>
      </c>
      <c r="L29" s="64">
        <f t="shared" ref="L29" si="6">K29*G29</f>
        <v>10</v>
      </c>
      <c r="M29" s="65"/>
      <c r="N29" s="145">
        <f>VLOOKUP(C29,'Sales Master'!$B$3:$DA$2272,104,0)</f>
        <v>1.1000000000000001</v>
      </c>
      <c r="O29" s="145">
        <f t="shared" ref="O29" si="7">K29-N29</f>
        <v>0.89999999999999991</v>
      </c>
      <c r="P29" s="145">
        <f t="shared" ref="P29" si="8">O29*G29</f>
        <v>4.5</v>
      </c>
      <c r="R29" s="19">
        <v>4</v>
      </c>
    </row>
    <row r="30" spans="2:25" ht="20.149999999999999" customHeight="1" x14ac:dyDescent="0.45">
      <c r="B30" s="29"/>
      <c r="C30" s="212" t="s">
        <v>1043</v>
      </c>
      <c r="D30" s="492" t="str">
        <f>VLOOKUP(C30,'Sales Master'!B$3:D$530,2,)</f>
        <v>Food Coloring - Liquid 颜色水</v>
      </c>
      <c r="E30" s="492"/>
      <c r="F30" s="492"/>
      <c r="G30" s="17">
        <v>2</v>
      </c>
      <c r="H30" s="208" t="str">
        <f>VLOOKUP(C30,'Sales Master'!$B$3:$E$530,4,0)</f>
        <v>Yellow/黄</v>
      </c>
      <c r="I30" s="516" t="str">
        <f>VLOOKUP(C30,'Sales Master'!$B$3:F$530,5,0)</f>
        <v>500 ML/ Btl支</v>
      </c>
      <c r="J30" s="516"/>
      <c r="K30" s="30">
        <f>VLOOKUP(C30,'Sales Master'!B$3:AM$530,38,0)</f>
        <v>2.8</v>
      </c>
      <c r="L30" s="64">
        <f t="shared" si="0"/>
        <v>5.6</v>
      </c>
      <c r="M30" s="65"/>
      <c r="N30" s="145">
        <f>VLOOKUP(C30,'Sales Master'!$B$3:$DA$2272,104,0)</f>
        <v>1.8399999999999999</v>
      </c>
      <c r="O30" s="145">
        <f t="shared" si="1"/>
        <v>0.96</v>
      </c>
      <c r="P30" s="145">
        <f t="shared" si="2"/>
        <v>1.92</v>
      </c>
    </row>
    <row r="31" spans="2:25" ht="20.149999999999999" customHeight="1" x14ac:dyDescent="0.45">
      <c r="B31" s="29"/>
      <c r="C31" s="212"/>
      <c r="D31" s="461"/>
      <c r="E31" s="461"/>
      <c r="F31" s="461"/>
      <c r="G31" s="17"/>
      <c r="H31" s="208"/>
      <c r="I31" s="516"/>
      <c r="J31" s="516"/>
      <c r="K31" s="30"/>
      <c r="L31" s="64"/>
      <c r="M31" s="65"/>
      <c r="N31" s="145"/>
      <c r="O31" s="145"/>
      <c r="P31" s="145"/>
    </row>
    <row r="32" spans="2:25" ht="20.149999999999999" customHeight="1" x14ac:dyDescent="0.45">
      <c r="B32" s="29"/>
      <c r="C32" s="212"/>
      <c r="D32" s="461"/>
      <c r="E32" s="461"/>
      <c r="F32" s="461"/>
      <c r="G32" s="17"/>
      <c r="H32" s="208"/>
      <c r="I32" s="516"/>
      <c r="J32" s="516"/>
      <c r="K32" s="30"/>
      <c r="L32" s="64"/>
      <c r="M32" s="65"/>
      <c r="N32" s="145"/>
      <c r="O32" s="145"/>
      <c r="P32" s="145"/>
    </row>
    <row r="33" spans="2:25" ht="20.149999999999999" customHeight="1" x14ac:dyDescent="0.45">
      <c r="B33" s="29"/>
      <c r="C33" s="212"/>
      <c r="D33" s="461"/>
      <c r="E33" s="461"/>
      <c r="F33" s="461"/>
      <c r="G33" s="17"/>
      <c r="H33" s="208"/>
      <c r="I33" s="516"/>
      <c r="J33" s="516"/>
      <c r="K33" s="30"/>
      <c r="L33" s="64"/>
      <c r="M33" s="65"/>
      <c r="N33" s="145"/>
      <c r="O33" s="145"/>
      <c r="P33" s="145"/>
      <c r="R33" s="19">
        <v>1</v>
      </c>
      <c r="S33" s="19" t="s">
        <v>34</v>
      </c>
      <c r="T33" s="19" t="s">
        <v>431</v>
      </c>
      <c r="V33" s="19">
        <v>30</v>
      </c>
      <c r="Y33" s="19">
        <v>15</v>
      </c>
    </row>
    <row r="34" spans="2:25" ht="20.149999999999999" customHeight="1" x14ac:dyDescent="0.45">
      <c r="B34" s="29"/>
      <c r="C34" s="212"/>
      <c r="D34" s="461"/>
      <c r="E34" s="461"/>
      <c r="F34" s="461"/>
      <c r="G34" s="17"/>
      <c r="H34" s="208"/>
      <c r="I34" s="516"/>
      <c r="J34" s="516"/>
      <c r="K34" s="30"/>
      <c r="L34" s="64"/>
      <c r="M34" s="65"/>
      <c r="N34" s="145"/>
      <c r="O34" s="145"/>
      <c r="P34" s="145"/>
    </row>
    <row r="35" spans="2:25" ht="20.149999999999999" customHeight="1" x14ac:dyDescent="0.45">
      <c r="B35" s="29"/>
      <c r="C35" s="153"/>
      <c r="E35" s="147"/>
      <c r="F35" s="147"/>
      <c r="G35" s="76"/>
      <c r="H35" s="56"/>
      <c r="I35" s="56"/>
      <c r="J35" s="56"/>
      <c r="K35" s="150"/>
      <c r="L35" s="64"/>
      <c r="M35" s="65"/>
      <c r="N35" s="145"/>
      <c r="O35" s="145"/>
      <c r="P35" s="145"/>
      <c r="Y35" s="19">
        <v>16</v>
      </c>
    </row>
    <row r="36" spans="2:25" ht="20.149999999999999" customHeight="1" x14ac:dyDescent="0.45">
      <c r="B36" s="29"/>
      <c r="C36" s="212"/>
      <c r="D36" s="461"/>
      <c r="E36" s="461"/>
      <c r="F36" s="461"/>
      <c r="G36" s="76"/>
      <c r="H36" s="210"/>
      <c r="I36" s="516"/>
      <c r="J36" s="516"/>
      <c r="K36" s="99"/>
      <c r="L36" s="64"/>
      <c r="M36" s="65"/>
      <c r="N36" s="145"/>
      <c r="O36" s="145"/>
      <c r="P36" s="145"/>
    </row>
    <row r="37" spans="2:25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  <c r="Y37" s="19">
        <v>28</v>
      </c>
    </row>
    <row r="38" spans="2:25" ht="20.149999999999999" customHeight="1" thickBot="1" x14ac:dyDescent="0.5">
      <c r="B38" s="36"/>
      <c r="L38" s="37"/>
      <c r="Y38" s="19">
        <v>20</v>
      </c>
    </row>
    <row r="39" spans="2:25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SUM(L17:L38)</f>
        <v>2246.21</v>
      </c>
      <c r="M39" s="63">
        <f>SUM(P18:P35)</f>
        <v>600.55898230088496</v>
      </c>
      <c r="N39" s="133">
        <f>M39/L39</f>
        <v>0.26736546551786561</v>
      </c>
      <c r="Y39" s="19">
        <v>190</v>
      </c>
    </row>
    <row r="40" spans="2:25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  <c r="Y40" s="19">
        <v>50</v>
      </c>
    </row>
    <row r="41" spans="2:25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2246.21</v>
      </c>
      <c r="Y41" s="19">
        <v>16</v>
      </c>
    </row>
    <row r="42" spans="2:25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v>0.09</v>
      </c>
      <c r="L42" s="42">
        <f>L41*K42</f>
        <v>202.15889999999999</v>
      </c>
      <c r="N42" s="103">
        <f>'Sales Master'!$B$1</f>
        <v>0.09</v>
      </c>
      <c r="Y42" s="19">
        <v>18</v>
      </c>
    </row>
    <row r="43" spans="2:25" ht="20.149999999999999" customHeight="1" thickBot="1" x14ac:dyDescent="0.5">
      <c r="B43" s="10" t="s">
        <v>700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2448.3688999999999</v>
      </c>
      <c r="Y43" s="19">
        <v>4.5</v>
      </c>
    </row>
    <row r="44" spans="2:25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  <c r="O44" s="63"/>
      <c r="Y44" s="19">
        <f>SUM(Y18:Y43)</f>
        <v>799.5</v>
      </c>
    </row>
    <row r="45" spans="2:25" ht="20.149999999999999" customHeight="1" x14ac:dyDescent="0.45">
      <c r="B45" s="144" t="s">
        <v>690</v>
      </c>
      <c r="C45" s="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36"/>
      <c r="L47" s="37"/>
    </row>
    <row r="48" spans="2:25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3" spans="2:12" x14ac:dyDescent="0.45">
      <c r="C53" s="195"/>
      <c r="G53" s="76"/>
      <c r="H53" s="56"/>
      <c r="I53" s="56"/>
      <c r="J53" s="56"/>
      <c r="K53" s="150"/>
    </row>
    <row r="54" spans="2:12" x14ac:dyDescent="0.45">
      <c r="C54" s="17"/>
      <c r="D54" s="445"/>
      <c r="E54" s="445"/>
      <c r="F54" s="445"/>
      <c r="G54" s="76"/>
      <c r="H54" s="82"/>
      <c r="I54" s="446"/>
      <c r="J54" s="446"/>
      <c r="K54" s="150"/>
    </row>
    <row r="55" spans="2:12" x14ac:dyDescent="0.45">
      <c r="C55" s="76"/>
      <c r="D55" s="194"/>
      <c r="E55" s="194"/>
      <c r="F55" s="194"/>
      <c r="G55" s="76"/>
      <c r="H55" s="56"/>
      <c r="I55" s="56"/>
      <c r="J55" s="56"/>
      <c r="K55" s="150"/>
    </row>
    <row r="56" spans="2:12" x14ac:dyDescent="0.45">
      <c r="C56" s="153"/>
      <c r="G56" s="76"/>
      <c r="H56" s="56"/>
      <c r="I56" s="56"/>
      <c r="J56" s="56"/>
      <c r="K56" s="150"/>
    </row>
    <row r="57" spans="2:12" x14ac:dyDescent="0.45">
      <c r="C57" s="17"/>
      <c r="D57" s="445"/>
      <c r="E57" s="445"/>
      <c r="F57" s="445"/>
      <c r="G57" s="76"/>
      <c r="H57" s="82"/>
      <c r="I57" s="446"/>
      <c r="J57" s="446"/>
      <c r="K57" s="150"/>
    </row>
    <row r="58" spans="2:12" x14ac:dyDescent="0.45">
      <c r="C58" s="17"/>
      <c r="D58" s="147"/>
      <c r="E58" s="147"/>
      <c r="F58" s="147"/>
      <c r="G58" s="76"/>
      <c r="H58" s="56"/>
      <c r="I58" s="56"/>
      <c r="J58" s="56"/>
      <c r="K58" s="150"/>
    </row>
    <row r="59" spans="2:12" x14ac:dyDescent="0.45">
      <c r="C59" s="149" t="s">
        <v>1100</v>
      </c>
      <c r="G59" s="193"/>
      <c r="H59" s="56"/>
      <c r="I59" s="56"/>
      <c r="J59" s="56"/>
      <c r="K59" s="190"/>
    </row>
    <row r="60" spans="2:12" x14ac:dyDescent="0.45">
      <c r="C60" s="17" t="s">
        <v>1014</v>
      </c>
      <c r="D60" s="445" t="str">
        <f>VLOOKUP(C60,'Sales Master'!B$3:D$530,2,)</f>
        <v>Fine Sugar 白糖</v>
      </c>
      <c r="E60" s="445"/>
      <c r="F60" s="445"/>
      <c r="G60" s="193">
        <v>1</v>
      </c>
      <c r="H60" s="82" t="str">
        <f>VLOOKUP(C60,'Sales Master'!$B$3:$F$2413,5,0)</f>
        <v>25 KGS</v>
      </c>
      <c r="I60" s="446" t="str">
        <f>VLOOKUP(C60,'Sales Master'!$B$3:$E$2413,4,0)</f>
        <v>MITR PHOL/ 蜜朋</v>
      </c>
      <c r="J60" s="446"/>
      <c r="K60" s="190">
        <v>31</v>
      </c>
    </row>
  </sheetData>
  <mergeCells count="61">
    <mergeCell ref="D29:F29"/>
    <mergeCell ref="D37:F37"/>
    <mergeCell ref="I37:J37"/>
    <mergeCell ref="D36:F36"/>
    <mergeCell ref="D34:F34"/>
    <mergeCell ref="I34:J34"/>
    <mergeCell ref="I29:J29"/>
    <mergeCell ref="I33:J33"/>
    <mergeCell ref="D33:F33"/>
    <mergeCell ref="D31:F31"/>
    <mergeCell ref="D32:F32"/>
    <mergeCell ref="I31:J31"/>
    <mergeCell ref="I32:J32"/>
    <mergeCell ref="D30:F30"/>
    <mergeCell ref="I30:J30"/>
    <mergeCell ref="D60:F60"/>
    <mergeCell ref="I60:J60"/>
    <mergeCell ref="D54:F54"/>
    <mergeCell ref="I54:J54"/>
    <mergeCell ref="D57:F57"/>
    <mergeCell ref="I57:J57"/>
    <mergeCell ref="J43:K43"/>
    <mergeCell ref="J39:K39"/>
    <mergeCell ref="J41:K41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4:F24"/>
    <mergeCell ref="I24:J24"/>
    <mergeCell ref="D17:F17"/>
    <mergeCell ref="I17:J17"/>
    <mergeCell ref="I20:J20"/>
    <mergeCell ref="D18:F18"/>
    <mergeCell ref="I18:J18"/>
    <mergeCell ref="D20:F20"/>
    <mergeCell ref="D25:F25"/>
    <mergeCell ref="I25:J25"/>
    <mergeCell ref="D28:F28"/>
    <mergeCell ref="I28:J28"/>
    <mergeCell ref="D19:F19"/>
    <mergeCell ref="I22:J22"/>
    <mergeCell ref="I27:J27"/>
    <mergeCell ref="I23:J23"/>
    <mergeCell ref="D27:F27"/>
    <mergeCell ref="D26:F26"/>
    <mergeCell ref="I26:J26"/>
    <mergeCell ref="D23:F23"/>
    <mergeCell ref="D21:F21"/>
    <mergeCell ref="I21:J21"/>
    <mergeCell ref="D22:F22"/>
    <mergeCell ref="I19:J19"/>
  </mergeCells>
  <conditionalFormatting sqref="C35">
    <cfRule type="duplicateValues" dxfId="162" priority="1"/>
  </conditionalFormatting>
  <conditionalFormatting sqref="C36">
    <cfRule type="duplicateValues" dxfId="161" priority="2"/>
  </conditionalFormatting>
  <conditionalFormatting sqref="C56:C59">
    <cfRule type="duplicateValues" dxfId="160" priority="5"/>
  </conditionalFormatting>
  <conditionalFormatting sqref="C57:C58">
    <cfRule type="duplicateValues" dxfId="159" priority="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EAC-008F-40C3-A622-047EA1EAB554}">
  <sheetPr>
    <tabColor rgb="FFFFC000"/>
    <pageSetUpPr fitToPage="1"/>
  </sheetPr>
  <dimension ref="B1:Q42"/>
  <sheetViews>
    <sheetView topLeftCell="B6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294</v>
      </c>
      <c r="J10" s="24" t="s">
        <v>27</v>
      </c>
      <c r="K10" s="493">
        <v>202501126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Rasapura Masters                            2, Bayfront Avenue #B2-49A/50A Singapore 018972                                  (Nine Fresh Counter)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2285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7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17">
        <v>1</v>
      </c>
      <c r="H18" s="186" t="str">
        <f>VLOOKUP(C18,'Sales Master'!$B$3:$F$2413,5,0)</f>
        <v>12 CAN/CARTON</v>
      </c>
      <c r="I18" s="497" t="str">
        <f>VLOOKUP(C18,'Sales Master'!$B$3:$E$2413,4,0)</f>
        <v>Statue</v>
      </c>
      <c r="J18" s="497"/>
      <c r="K18" s="30">
        <f>VLOOKUP(C18,'Sales Master'!$B$3:$J$530,9,0)</f>
        <v>22</v>
      </c>
      <c r="L18" s="64">
        <f>K18*G18</f>
        <v>22</v>
      </c>
      <c r="N18" s="145">
        <f>VLOOKUP(C18,'Sales Master'!$B$3:$DA$2272,104,0)</f>
        <v>16.5</v>
      </c>
      <c r="O18" s="145">
        <f>K18-N18</f>
        <v>5.5</v>
      </c>
      <c r="P18" s="145">
        <f>O18*G18</f>
        <v>5.5</v>
      </c>
      <c r="Q18" s="170"/>
    </row>
    <row r="19" spans="2:17" ht="20.149999999999999" customHeight="1" x14ac:dyDescent="0.45">
      <c r="B19" s="29"/>
      <c r="C19" s="212" t="s">
        <v>2258</v>
      </c>
      <c r="D19" s="461" t="str">
        <f>VLOOKUP(C19,'Sales Master'!B$3:D$530,2,)</f>
        <v>Longan in Syrup 龙眼</v>
      </c>
      <c r="E19" s="461"/>
      <c r="F19" s="461"/>
      <c r="G19" s="17">
        <v>1</v>
      </c>
      <c r="H19" s="188" t="str">
        <f>VLOOKUP(C19,'Sales Master'!$B$3:$F$2413,5,0)</f>
        <v>(565gm x 12)/ Ctn箱</v>
      </c>
      <c r="I19" s="497" t="str">
        <f>VLOOKUP(C19,'Sales Master'!$B$3:$E$2413,4,0)</f>
        <v>GoldenBoy</v>
      </c>
      <c r="J19" s="497"/>
      <c r="K19" s="30">
        <f>VLOOKUP(C19,'Sales Master'!$B$3:$J$530,9,0)</f>
        <v>24</v>
      </c>
      <c r="L19" s="64">
        <f>K19*G19</f>
        <v>24</v>
      </c>
      <c r="N19" s="145">
        <f>VLOOKUP(C19,'Sales Master'!$B$3:$DA$2272,104,0)</f>
        <v>20</v>
      </c>
      <c r="O19" s="145">
        <f>K19-N19</f>
        <v>4</v>
      </c>
      <c r="P19" s="145">
        <f>O19*G19</f>
        <v>4</v>
      </c>
      <c r="Q19" s="170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G26" s="17"/>
      <c r="H26" s="186"/>
      <c r="I26" s="208"/>
      <c r="J26" s="208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SUM(L16:L28)</f>
        <v>46</v>
      </c>
      <c r="M30" s="63">
        <f>SUM(P18:P28)-L30*0.04</f>
        <v>7.66</v>
      </c>
      <c r="N30" s="133">
        <f>M30/L30</f>
        <v>0.16652173913043478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46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4.1399999999999997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50.14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2:F22"/>
    <mergeCell ref="I22:J22"/>
    <mergeCell ref="D20:F20"/>
    <mergeCell ref="I20:J20"/>
    <mergeCell ref="D21:F21"/>
    <mergeCell ref="I21:J21"/>
    <mergeCell ref="D23:F23"/>
    <mergeCell ref="I23:J23"/>
    <mergeCell ref="J32:K32"/>
    <mergeCell ref="J34:K34"/>
    <mergeCell ref="D24:F24"/>
    <mergeCell ref="I24:J24"/>
    <mergeCell ref="D25:F25"/>
    <mergeCell ref="I25:J25"/>
    <mergeCell ref="D28:F28"/>
    <mergeCell ref="J30:K30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295</v>
      </c>
      <c r="J10" s="24" t="s">
        <v>27</v>
      </c>
      <c r="K10" s="493">
        <v>202404226</v>
      </c>
      <c r="L10" s="494"/>
    </row>
    <row r="11" spans="2:12" ht="20.149999999999999" customHeight="1" x14ac:dyDescent="0.45">
      <c r="B11" s="477" t="s">
        <v>687</v>
      </c>
      <c r="C11" s="478"/>
      <c r="D11" s="479"/>
      <c r="E11" s="25"/>
      <c r="F11" s="480" t="str">
        <f>VLOOKUP(H10,'Delivery Location'!A$4:N$460,2,0)</f>
        <v xml:space="preserve">KI - FMD Dessert Shop                                                                          10 Senoko Way, Singapore 758031  Level 3 (Dessert)        </v>
      </c>
      <c r="G11" s="481"/>
      <c r="H11" s="482"/>
      <c r="J11" s="26" t="s">
        <v>9</v>
      </c>
      <c r="K11" s="495">
        <v>45390</v>
      </c>
      <c r="L11" s="496"/>
    </row>
    <row r="12" spans="2:12" ht="20.149999999999999" customHeight="1" x14ac:dyDescent="0.45">
      <c r="B12" s="488" t="s">
        <v>1923</v>
      </c>
      <c r="C12" s="449"/>
      <c r="D12" s="489"/>
      <c r="E12" s="25"/>
      <c r="F12" s="483"/>
      <c r="G12" s="484"/>
      <c r="H12" s="485"/>
      <c r="J12" s="26" t="s">
        <v>145</v>
      </c>
      <c r="K12" s="463">
        <v>4080387963</v>
      </c>
      <c r="L12" s="464"/>
    </row>
    <row r="13" spans="2:12" ht="20.149999999999999" customHeight="1" x14ac:dyDescent="0.45">
      <c r="B13" s="488" t="s">
        <v>1925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1924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 t="s">
        <v>1926</v>
      </c>
      <c r="C15" s="509"/>
      <c r="D15" s="510"/>
      <c r="E15" s="21"/>
      <c r="F15" s="465"/>
      <c r="G15" s="466"/>
      <c r="H15" s="467"/>
      <c r="J15" s="27" t="s">
        <v>704</v>
      </c>
      <c r="K15" s="468">
        <v>10122506</v>
      </c>
      <c r="L15" s="469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45">
        <v>4000005592</v>
      </c>
      <c r="C18" s="212" t="str">
        <f>VLOOKUP(B18,'Sales Master'!A$3:B$530,2,0)</f>
        <v>P3013</v>
      </c>
      <c r="D18" s="461" t="str">
        <f>VLOOKUP(C18,'Sales Master'!B$3:D$530,2,)</f>
        <v>Black Glutinous Rice 黑糯米</v>
      </c>
      <c r="E18" s="461"/>
      <c r="F18" s="461"/>
      <c r="G18" s="17">
        <v>8</v>
      </c>
      <c r="H18" s="208" t="str">
        <f>VLOOKUP(C18,'Sales Master'!$B$3:$E$530,4,0)</f>
        <v>INDONESIA</v>
      </c>
      <c r="I18" s="516" t="str">
        <f>VLOOKUP(C18,'Sales Master'!$B$3:F$530,5,0)</f>
        <v>25 KGS</v>
      </c>
      <c r="J18" s="516"/>
      <c r="K18" s="80">
        <f>VLOOKUP(C18,'Sales Master'!$B$3:$K$2395,10,0)</f>
        <v>77</v>
      </c>
      <c r="L18" s="64">
        <f>K18*G18</f>
        <v>616</v>
      </c>
      <c r="N18" s="145">
        <f>VLOOKUP(C18,'Sales Master'!$B$3:$DA$2272,104,0)</f>
        <v>60</v>
      </c>
      <c r="O18" s="145">
        <f>K18-N18</f>
        <v>17</v>
      </c>
      <c r="P18" s="145">
        <f>O18*G18</f>
        <v>136</v>
      </c>
      <c r="R18" s="63">
        <f>N18*G18*0.07</f>
        <v>33.6</v>
      </c>
      <c r="S18" s="63">
        <f>N18*G18*0.08</f>
        <v>38.4</v>
      </c>
    </row>
    <row r="19" spans="2:19" ht="20.149999999999999" customHeight="1" x14ac:dyDescent="0.45">
      <c r="B19" s="245">
        <v>4000002756</v>
      </c>
      <c r="C19" s="212" t="str">
        <f>VLOOKUP(B19,'Sales Master'!A$3:B$530,2,0)</f>
        <v>P3003A</v>
      </c>
      <c r="D19" s="461" t="str">
        <f>VLOOKUP(C19,'Sales Master'!B$3:D$530,2,)</f>
        <v>Selaseh (Basil Seed) 青蛙蛋</v>
      </c>
      <c r="E19" s="461"/>
      <c r="F19" s="461"/>
      <c r="G19" s="17">
        <v>2</v>
      </c>
      <c r="H19" s="208" t="str">
        <f>VLOOKUP(C19,'Sales Master'!$B$3:$E$530,4,0)</f>
        <v>Tukhmaria</v>
      </c>
      <c r="I19" s="516" t="str">
        <f>VLOOKUP(C19,'Sales Master'!$B$3:F$530,5,0)</f>
        <v>1 KG</v>
      </c>
      <c r="J19" s="516"/>
      <c r="K19" s="80">
        <f>VLOOKUP(C19,'Sales Master'!$B$3:$K$2395,10,0)</f>
        <v>13</v>
      </c>
      <c r="L19" s="64">
        <f>K19*G19</f>
        <v>26</v>
      </c>
      <c r="N19" s="145">
        <f>VLOOKUP(C19,'Sales Master'!$B$3:$DA$2272,104,0)</f>
        <v>7</v>
      </c>
      <c r="O19" s="145">
        <f>K19-N19</f>
        <v>6</v>
      </c>
      <c r="P19" s="145">
        <f>O19*G19</f>
        <v>12</v>
      </c>
      <c r="R19" s="63">
        <f>N19*G19*0.07</f>
        <v>0.98000000000000009</v>
      </c>
      <c r="S19" s="63">
        <f>N19*G19*0.08</f>
        <v>1.1200000000000001</v>
      </c>
    </row>
    <row r="20" spans="2:19" ht="20.149999999999999" customHeight="1" x14ac:dyDescent="0.45">
      <c r="B20" s="245"/>
      <c r="C20" s="212"/>
      <c r="D20" s="461"/>
      <c r="E20" s="461"/>
      <c r="F20" s="461"/>
      <c r="G20" s="17"/>
      <c r="H20" s="208"/>
      <c r="I20" s="516"/>
      <c r="J20" s="516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8"/>
      <c r="I21" s="516"/>
      <c r="J21" s="516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8"/>
      <c r="I22" s="516"/>
      <c r="J22" s="516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460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642</v>
      </c>
      <c r="M30" s="63">
        <f>SUM(P18:P28)</f>
        <v>148</v>
      </c>
      <c r="N30" s="133">
        <f>M30/L30</f>
        <v>0.23052959501557632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642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57.78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699.78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460</v>
      </c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714</v>
      </c>
      <c r="L40" s="37"/>
    </row>
    <row r="41" spans="2:12" ht="20.149999999999999" customHeight="1" x14ac:dyDescent="0.45">
      <c r="B41" s="36" t="s">
        <v>25</v>
      </c>
      <c r="J41" s="19" t="s">
        <v>715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CB1F-76C2-4077-8F5D-75B3D8FEF3CA}">
  <sheetPr>
    <tabColor rgb="FFFFC000"/>
    <pageSetUpPr fitToPage="1"/>
  </sheetPr>
  <dimension ref="B1:DA202"/>
  <sheetViews>
    <sheetView topLeftCell="A6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411</v>
      </c>
      <c r="J10" s="24" t="s">
        <v>27</v>
      </c>
      <c r="K10" s="493">
        <v>202501113</v>
      </c>
      <c r="L10" s="494"/>
    </row>
    <row r="11" spans="2:12" ht="20.149999999999999" customHeight="1" x14ac:dyDescent="0.45">
      <c r="B11" s="477" t="s">
        <v>1959</v>
      </c>
      <c r="C11" s="478"/>
      <c r="D11" s="479"/>
      <c r="E11" s="25"/>
      <c r="F11" s="480" t="str">
        <f>VLOOKUP(H10,'Delivery Location'!A$4:N$460,2,0)</f>
        <v>FMD FOOD MANUFACTURING (FMD DESSERT)                                                                    10 Senoko Way, Singapore 758031  Level 3 (Dessert)                            Contact Person:  Mei Yei Low</v>
      </c>
      <c r="G11" s="481"/>
      <c r="H11" s="482"/>
      <c r="J11" s="26" t="s">
        <v>9</v>
      </c>
      <c r="K11" s="495">
        <v>45663</v>
      </c>
      <c r="L11" s="496"/>
    </row>
    <row r="12" spans="2:12" ht="20.149999999999999" customHeight="1" x14ac:dyDescent="0.45">
      <c r="B12" s="488" t="s">
        <v>1960</v>
      </c>
      <c r="C12" s="449"/>
      <c r="D12" s="489"/>
      <c r="E12" s="25"/>
      <c r="F12" s="483"/>
      <c r="G12" s="484"/>
      <c r="H12" s="485"/>
      <c r="J12" s="26" t="s">
        <v>145</v>
      </c>
      <c r="K12" s="463">
        <v>4080433893</v>
      </c>
      <c r="L12" s="464"/>
    </row>
    <row r="13" spans="2:12" ht="20.149999999999999" customHeight="1" x14ac:dyDescent="0.45">
      <c r="B13" s="488" t="s">
        <v>1924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559"/>
      <c r="C14" s="560"/>
      <c r="D14" s="561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704</v>
      </c>
      <c r="K15" s="468">
        <v>10122506</v>
      </c>
      <c r="L15" s="469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N17" s="182" t="s">
        <v>1250</v>
      </c>
      <c r="O17" s="182" t="s">
        <v>1252</v>
      </c>
      <c r="P17" s="182" t="s">
        <v>1253</v>
      </c>
    </row>
    <row r="18" spans="2:19" ht="20.149999999999999" customHeight="1" x14ac:dyDescent="0.45">
      <c r="B18" s="245">
        <v>4000005592</v>
      </c>
      <c r="C18" s="212" t="str">
        <f>VLOOKUP(B18,'Sales Master'!A$3:B$530,2,0)</f>
        <v>P3013</v>
      </c>
      <c r="D18" s="461" t="str">
        <f>VLOOKUP(C18,'Sales Master'!B$3:D$530,2,)</f>
        <v>Black Glutinous Rice 黑糯米</v>
      </c>
      <c r="E18" s="461"/>
      <c r="F18" s="461"/>
      <c r="G18" s="17">
        <v>11</v>
      </c>
      <c r="H18" s="208" t="str">
        <f>VLOOKUP(C18,'Sales Master'!$B$3:$E$530,4,0)</f>
        <v>INDONESIA</v>
      </c>
      <c r="I18" s="516" t="str">
        <f>VLOOKUP(C18,'Sales Master'!$B$3:F$530,5,0)</f>
        <v>25 KGS</v>
      </c>
      <c r="J18" s="516"/>
      <c r="K18" s="80">
        <f>VLOOKUP(C18,'Sales Master'!$B$3:$K$2395,10,0)</f>
        <v>77</v>
      </c>
      <c r="L18" s="64">
        <f>K18*G18</f>
        <v>847</v>
      </c>
      <c r="N18" s="145">
        <f>VLOOKUP(C18,'Sales Master'!$B$3:$DA$2272,104,0)</f>
        <v>60</v>
      </c>
      <c r="O18" s="145">
        <f>K18-N18</f>
        <v>17</v>
      </c>
      <c r="P18" s="145">
        <f>O18*G18</f>
        <v>187</v>
      </c>
      <c r="R18" s="63">
        <f>N18*G18*0.07</f>
        <v>46.2</v>
      </c>
      <c r="S18" s="63">
        <f>N18*G18*0.08</f>
        <v>52.800000000000004</v>
      </c>
    </row>
    <row r="19" spans="2:19" ht="20.149999999999999" customHeight="1" x14ac:dyDescent="0.45">
      <c r="B19" s="245"/>
      <c r="C19" s="212"/>
      <c r="D19" s="461"/>
      <c r="E19" s="461"/>
      <c r="F19" s="461"/>
      <c r="G19" s="17"/>
      <c r="H19" s="208"/>
      <c r="I19" s="516"/>
      <c r="J19" s="516"/>
      <c r="K19" s="80"/>
      <c r="L19" s="64"/>
      <c r="N19" s="145"/>
      <c r="O19" s="145"/>
      <c r="P19" s="145"/>
      <c r="R19" s="63"/>
      <c r="S19" s="63"/>
    </row>
    <row r="20" spans="2:19" ht="20.149999999999999" customHeight="1" x14ac:dyDescent="0.45">
      <c r="B20" s="245"/>
      <c r="C20" s="212"/>
      <c r="D20" s="461"/>
      <c r="E20" s="461"/>
      <c r="F20" s="461"/>
      <c r="G20" s="17"/>
      <c r="H20" s="208"/>
      <c r="I20" s="516"/>
      <c r="J20" s="516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8"/>
      <c r="I21" s="516"/>
      <c r="J21" s="516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8"/>
      <c r="I22" s="516"/>
      <c r="J22" s="516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460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491"/>
      <c r="J27" s="491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SUM(L17:L29)</f>
        <v>847</v>
      </c>
      <c r="M30" s="63">
        <f>SUM(P18:P28)</f>
        <v>187</v>
      </c>
      <c r="N30" s="133">
        <f>M30/L30</f>
        <v>0.22077922077922077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847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76.23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923.23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460</v>
      </c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714</v>
      </c>
      <c r="L40" s="37"/>
    </row>
    <row r="41" spans="2:12" ht="20.149999999999999" customHeight="1" x14ac:dyDescent="0.45">
      <c r="B41" s="36" t="s">
        <v>25</v>
      </c>
      <c r="J41" s="19" t="s">
        <v>715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21:F21"/>
    <mergeCell ref="I21:J21"/>
    <mergeCell ref="J30:K30"/>
    <mergeCell ref="J32:K32"/>
    <mergeCell ref="J34:K34"/>
    <mergeCell ref="D22:F22"/>
    <mergeCell ref="I22:J22"/>
    <mergeCell ref="D27:F27"/>
    <mergeCell ref="I27:J27"/>
    <mergeCell ref="D28:F28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AD393-99F9-44E9-A962-FE47AC686BA8}">
  <sheetPr>
    <tabColor rgb="FFFFC000"/>
    <pageSetUpPr fitToPage="1"/>
  </sheetPr>
  <dimension ref="A1:R51"/>
  <sheetViews>
    <sheetView topLeftCell="A9" zoomScaleNormal="100" workbookViewId="0">
      <selection activeCell="B1" sqref="B1:L5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419</v>
      </c>
      <c r="J10" s="24" t="s">
        <v>27</v>
      </c>
      <c r="K10" s="493">
        <v>202501200</v>
      </c>
      <c r="L10" s="494"/>
    </row>
    <row r="11" spans="2:12" ht="20.149999999999999" customHeight="1" x14ac:dyDescent="0.45">
      <c r="B11" s="477" t="s">
        <v>702</v>
      </c>
      <c r="C11" s="478"/>
      <c r="D11" s="479"/>
      <c r="E11" s="25"/>
      <c r="F11" s="480" t="str">
        <f>VLOOKUP(H10,'Delivery Location'!A$4:N$460,2,0)</f>
        <v>DRINK &amp; DESSERT STALL                                  Nex 23 Serangoon Central                               #04-16. Nex Shopping Mall. Singapore 556083</v>
      </c>
      <c r="G11" s="481"/>
      <c r="H11" s="482"/>
      <c r="J11" s="26" t="s">
        <v>9</v>
      </c>
      <c r="K11" s="495">
        <v>45666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4500320859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Master'!A$3:B$524,2,0)</f>
        <v>M1014</v>
      </c>
      <c r="D18" s="461" t="str">
        <f>VLOOKUP(C18,'Sales Master'!B$3:D$530,2,)</f>
        <v>Chendol 浆咯</v>
      </c>
      <c r="E18" s="461"/>
      <c r="F18" s="461"/>
      <c r="G18" s="76">
        <v>4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3">
        <f>VLOOKUP(C18,'Sales Master'!B$3:I$530,8,0)</f>
        <v>6.5</v>
      </c>
      <c r="L18" s="84">
        <f t="shared" ref="L18" si="0">K18*G18</f>
        <v>26</v>
      </c>
      <c r="N18" s="145">
        <f>VLOOKUP(C18,'Sales Master'!$B$3:$DA$2272,104,0)</f>
        <v>2.44</v>
      </c>
      <c r="O18" s="145">
        <f t="shared" ref="O18" si="1">K18-N18</f>
        <v>4.0600000000000005</v>
      </c>
      <c r="P18" s="145">
        <f t="shared" ref="P18" si="2">O18*G18</f>
        <v>16.240000000000002</v>
      </c>
      <c r="Q18" s="63"/>
      <c r="R18" s="63">
        <f>N18*G18*0.07</f>
        <v>0.68320000000000003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Master'!A$3:B$524,2,0)</f>
        <v>M1004</v>
      </c>
      <c r="D19" s="461" t="str">
        <f>VLOOKUP(C19,'Sales Master'!B$3:D$530,2,)</f>
        <v>Mango Puree 芒果酱</v>
      </c>
      <c r="E19" s="461"/>
      <c r="F19" s="461"/>
      <c r="G19" s="76">
        <v>3</v>
      </c>
      <c r="H19" s="247" t="str">
        <f>VLOOKUP(C19,'Sales Master'!$B$3:$F$2413,5,0)</f>
        <v>1 KG/ Box盒</v>
      </c>
      <c r="I19" s="462" t="str">
        <f>VLOOKUP(C19,'Sales Master'!$B$3:$E$2413,4,0)</f>
        <v>DO!</v>
      </c>
      <c r="J19" s="462"/>
      <c r="K19" s="83">
        <f>VLOOKUP(C19,'Sales Master'!B$3:I$530,8,0)</f>
        <v>7</v>
      </c>
      <c r="L19" s="84">
        <f t="shared" ref="L19:L25" si="3">K19*G19</f>
        <v>21</v>
      </c>
      <c r="N19" s="145">
        <f>VLOOKUP(C19,'Sales Master'!$B$3:$DA$2272,104,0)</f>
        <v>2.15</v>
      </c>
      <c r="O19" s="145">
        <f t="shared" ref="O19:O25" si="4">K19-N19</f>
        <v>4.8499999999999996</v>
      </c>
      <c r="P19" s="145">
        <f t="shared" ref="P19:P25" si="5">O19*G19</f>
        <v>14.549999999999999</v>
      </c>
      <c r="Q19" s="63"/>
      <c r="R19" s="63"/>
    </row>
    <row r="20" spans="1:18" ht="20.149999999999999" customHeight="1" x14ac:dyDescent="0.45">
      <c r="A20" s="65"/>
      <c r="B20" s="58">
        <v>520695</v>
      </c>
      <c r="C20" s="212" t="str">
        <f>VLOOKUP(B20,'Sales Master'!A$3:B$524,2,0)</f>
        <v>P3001B</v>
      </c>
      <c r="D20" s="461" t="str">
        <f>VLOOKUP(C20,'Sales Master'!B$3:D$530,2,)</f>
        <v>Atap Seeds in Syrup 亚嗒子</v>
      </c>
      <c r="E20" s="461"/>
      <c r="F20" s="461"/>
      <c r="G20" s="76">
        <v>3</v>
      </c>
      <c r="H20" s="247" t="str">
        <f>VLOOKUP(C20,'Sales Master'!$B$3:$F$2413,5,0)</f>
        <v>NW(1.6:0.6) 2.2kg/ Bag包</v>
      </c>
      <c r="I20" s="462" t="str">
        <f>VLOOKUP(C20,'Sales Master'!$B$3:$E$2413,4,0)</f>
        <v>DO!</v>
      </c>
      <c r="J20" s="462"/>
      <c r="K20" s="83">
        <f>VLOOKUP(C20,'Sales Master'!B$3:I$530,8,0)</f>
        <v>10</v>
      </c>
      <c r="L20" s="84">
        <f t="shared" si="3"/>
        <v>30</v>
      </c>
      <c r="N20" s="145">
        <f>VLOOKUP(C20,'Sales Master'!$B$3:$DA$2272,104,0)</f>
        <v>7.3</v>
      </c>
      <c r="O20" s="145">
        <f t="shared" si="4"/>
        <v>2.7</v>
      </c>
      <c r="P20" s="145">
        <f t="shared" si="5"/>
        <v>8.1000000000000014</v>
      </c>
      <c r="Q20" s="63"/>
      <c r="R20" s="63"/>
    </row>
    <row r="21" spans="1:18" ht="20.149999999999999" customHeight="1" x14ac:dyDescent="0.45">
      <c r="A21" s="65"/>
      <c r="B21" s="58">
        <v>520721</v>
      </c>
      <c r="C21" s="212" t="str">
        <f>VLOOKUP(B21,'Sales Master'!A$3:B$524,2,0)</f>
        <v>P3004A</v>
      </c>
      <c r="D21" s="461" t="str">
        <f>VLOOKUP(C21,'Sales Master'!B$3:D$530,2,)</f>
        <v>GingKo Nut (Peel off) 白果仁</v>
      </c>
      <c r="E21" s="461"/>
      <c r="F21" s="461"/>
      <c r="G21" s="76">
        <v>6</v>
      </c>
      <c r="H21" s="247" t="str">
        <f>VLOOKUP(C21,'Sales Master'!$B$3:$F$2413,5,0)</f>
        <v>1 KG (500 GM X 2)</v>
      </c>
      <c r="I21" s="462" t="str">
        <f>VLOOKUP(C21,'Sales Master'!$B$3:$E$2413,4,0)</f>
        <v>-</v>
      </c>
      <c r="J21" s="462"/>
      <c r="K21" s="83">
        <f>VLOOKUP(C21,'Sales Master'!B$3:I$530,8,0)</f>
        <v>4.5</v>
      </c>
      <c r="L21" s="84">
        <f t="shared" si="3"/>
        <v>27</v>
      </c>
      <c r="N21" s="145">
        <f>VLOOKUP(C21,'Sales Master'!$B$3:$DA$2272,104,0)</f>
        <v>3</v>
      </c>
      <c r="O21" s="145">
        <f t="shared" si="4"/>
        <v>1.5</v>
      </c>
      <c r="P21" s="145">
        <f t="shared" si="5"/>
        <v>9</v>
      </c>
      <c r="Q21" s="63"/>
      <c r="R21" s="63"/>
    </row>
    <row r="22" spans="1:18" ht="20.149999999999999" customHeight="1" x14ac:dyDescent="0.45">
      <c r="A22" s="65"/>
      <c r="B22" s="58">
        <v>520738</v>
      </c>
      <c r="C22" s="212" t="str">
        <f>VLOOKUP(B22,'Sales Master'!A$3:B$524,2,0)</f>
        <v>P3005A</v>
      </c>
      <c r="D22" s="461" t="str">
        <f>VLOOKUP(C22,'Sales Master'!B$3:D$530,2,)</f>
        <v>Red Bean 红豆 (5.5 mm)</v>
      </c>
      <c r="E22" s="461"/>
      <c r="F22" s="461"/>
      <c r="G22" s="76">
        <v>2</v>
      </c>
      <c r="H22" s="247" t="str">
        <f>VLOOKUP(C22,'Sales Master'!$B$3:$F$2413,5,0)</f>
        <v>5 KG</v>
      </c>
      <c r="I22" s="462" t="str">
        <f>VLOOKUP(C22,'Sales Master'!$B$3:$E$2413,4,0)</f>
        <v>-</v>
      </c>
      <c r="J22" s="462"/>
      <c r="K22" s="83">
        <f>VLOOKUP(C22,'Sales Master'!B$3:I$530,8,0)</f>
        <v>17.5</v>
      </c>
      <c r="L22" s="84">
        <f t="shared" si="3"/>
        <v>35</v>
      </c>
      <c r="N22" s="145">
        <f>VLOOKUP(C22,'Sales Master'!$B$3:$DA$2272,104,0)</f>
        <v>12.5</v>
      </c>
      <c r="O22" s="145">
        <f t="shared" si="4"/>
        <v>5</v>
      </c>
      <c r="P22" s="145">
        <f t="shared" si="5"/>
        <v>10</v>
      </c>
      <c r="Q22" s="63"/>
      <c r="R22" s="63"/>
    </row>
    <row r="23" spans="1:18" ht="20.149999999999999" customHeight="1" x14ac:dyDescent="0.45">
      <c r="A23" s="65"/>
      <c r="B23" s="58">
        <v>520724</v>
      </c>
      <c r="C23" s="212" t="str">
        <f>VLOOKUP(B23,'Sales Master'!A$3:B$524,2,0)</f>
        <v>P3009A</v>
      </c>
      <c r="D23" s="461" t="str">
        <f>VLOOKUP(C23,'Sales Master'!B$3:D$530,2,)</f>
        <v>Green Bean 绿豆</v>
      </c>
      <c r="E23" s="461"/>
      <c r="F23" s="461"/>
      <c r="G23" s="76">
        <v>1</v>
      </c>
      <c r="H23" s="247" t="str">
        <f>VLOOKUP(C23,'Sales Master'!$B$3:$F$2413,5,0)</f>
        <v>5 KG</v>
      </c>
      <c r="I23" s="462" t="str">
        <f>VLOOKUP(C23,'Sales Master'!$B$3:$E$2413,4,0)</f>
        <v>-</v>
      </c>
      <c r="J23" s="462"/>
      <c r="K23" s="83">
        <f>VLOOKUP(C23,'Sales Master'!B$3:I$530,8,0)</f>
        <v>13</v>
      </c>
      <c r="L23" s="84">
        <f t="shared" si="3"/>
        <v>13</v>
      </c>
      <c r="N23" s="145">
        <f>VLOOKUP(C23,'Sales Master'!$B$3:$DA$2272,104,0)</f>
        <v>8.75</v>
      </c>
      <c r="O23" s="145">
        <f t="shared" si="4"/>
        <v>4.25</v>
      </c>
      <c r="P23" s="145">
        <f t="shared" si="5"/>
        <v>4.25</v>
      </c>
      <c r="Q23" s="63"/>
      <c r="R23" s="63"/>
    </row>
    <row r="24" spans="1:18" ht="20.149999999999999" customHeight="1" x14ac:dyDescent="0.45">
      <c r="A24" s="65"/>
      <c r="B24" s="58">
        <v>520714</v>
      </c>
      <c r="C24" s="212" t="str">
        <f>VLOOKUP(B24,'Sales Master'!A$3:B$524,2,0)</f>
        <v>P3019A</v>
      </c>
      <c r="D24" s="461" t="str">
        <f>VLOOKUP(C24,'Sales Master'!B$3:D$530,2,)</f>
        <v>Dried Longan 龙眼干</v>
      </c>
      <c r="E24" s="461"/>
      <c r="F24" s="461"/>
      <c r="G24" s="76">
        <v>5</v>
      </c>
      <c r="H24" s="247" t="str">
        <f>VLOOKUP(C24,'Sales Master'!$B$3:$F$2413,5,0)</f>
        <v>1 kg</v>
      </c>
      <c r="I24" s="462" t="str">
        <f>VLOOKUP(C24,'Sales Master'!$B$3:$E$2413,4,0)</f>
        <v>TL</v>
      </c>
      <c r="J24" s="462"/>
      <c r="K24" s="83">
        <f>VLOOKUP(C24,'Sales Master'!B$3:I$530,8,0)</f>
        <v>13</v>
      </c>
      <c r="L24" s="84">
        <f t="shared" si="3"/>
        <v>65</v>
      </c>
      <c r="N24" s="145">
        <f>VLOOKUP(C24,'Sales Master'!$B$3:$DA$2272,104,0)</f>
        <v>8.8000000000000007</v>
      </c>
      <c r="O24" s="145">
        <f t="shared" si="4"/>
        <v>4.1999999999999993</v>
      </c>
      <c r="P24" s="145">
        <f t="shared" si="5"/>
        <v>20.999999999999996</v>
      </c>
      <c r="Q24" s="63"/>
      <c r="R24" s="63"/>
    </row>
    <row r="25" spans="1:18" ht="20.149999999999999" customHeight="1" x14ac:dyDescent="0.45">
      <c r="A25" s="65"/>
      <c r="B25" s="58">
        <v>520728</v>
      </c>
      <c r="C25" s="212" t="str">
        <f>VLOOKUP(B25,'Sales Master'!A$3:B$524,2,0)</f>
        <v>P4010</v>
      </c>
      <c r="D25" s="461" t="str">
        <f>VLOOKUP(C25,'Sales Master'!B$3:D$530,2,)</f>
        <v>Lychee in Syrup 荔枝</v>
      </c>
      <c r="E25" s="461"/>
      <c r="F25" s="461"/>
      <c r="G25" s="76">
        <v>2</v>
      </c>
      <c r="H25" s="247" t="str">
        <f>VLOOKUP(C25,'Sales Master'!$B$3:$F$2413,5,0)</f>
        <v>12can/箱</v>
      </c>
      <c r="I25" s="462" t="str">
        <f>VLOOKUP(C25,'Sales Master'!$B$3:$E$2413,4,0)</f>
        <v>MiLi</v>
      </c>
      <c r="J25" s="462"/>
      <c r="K25" s="83">
        <f>VLOOKUP(C25,'Sales Master'!B$3:I$530,8,0)</f>
        <v>24</v>
      </c>
      <c r="L25" s="84">
        <f t="shared" si="3"/>
        <v>48</v>
      </c>
      <c r="N25" s="145">
        <f>VLOOKUP(C25,'Sales Master'!$B$3:$DA$2272,104,0)</f>
        <v>20</v>
      </c>
      <c r="O25" s="145">
        <f t="shared" si="4"/>
        <v>4</v>
      </c>
      <c r="P25" s="145">
        <f t="shared" si="5"/>
        <v>8</v>
      </c>
      <c r="Q25" s="63"/>
      <c r="R25" s="63"/>
    </row>
    <row r="26" spans="1:18" ht="20.149999999999999" customHeight="1" x14ac:dyDescent="0.45">
      <c r="A26" s="65"/>
      <c r="B26" s="58">
        <v>520700</v>
      </c>
      <c r="C26" s="212" t="str">
        <f>VLOOKUP(B26,'Sales Master'!A$3:B$524,2,0)</f>
        <v>P5002A</v>
      </c>
      <c r="D26" s="461" t="str">
        <f>VLOOKUP(C26,'Sales Master'!B$3:D$530,2,)</f>
        <v>Brown Sugar 黑糖</v>
      </c>
      <c r="E26" s="461"/>
      <c r="F26" s="461"/>
      <c r="G26" s="76">
        <v>1</v>
      </c>
      <c r="H26" s="247" t="str">
        <f>VLOOKUP(C26,'Sales Master'!$B$3:$F$2413,5,0)</f>
        <v>6 KG</v>
      </c>
      <c r="I26" s="462" t="str">
        <f>VLOOKUP(C26,'Sales Master'!$B$3:$E$2413,4,0)</f>
        <v>Star</v>
      </c>
      <c r="J26" s="462"/>
      <c r="K26" s="83">
        <f>VLOOKUP(C26,'Sales Master'!B$3:I$530,8,0)</f>
        <v>15.5</v>
      </c>
      <c r="L26" s="84">
        <f t="shared" ref="L26" si="6">K26*G26</f>
        <v>15.5</v>
      </c>
      <c r="N26" s="145">
        <f>VLOOKUP(C26,'Sales Master'!$B$3:$DA$2272,104,0)</f>
        <v>12.5</v>
      </c>
      <c r="O26" s="145">
        <f t="shared" ref="O26" si="7">K26-N26</f>
        <v>3</v>
      </c>
      <c r="P26" s="145">
        <f t="shared" ref="P26" si="8">O26*G26</f>
        <v>3</v>
      </c>
      <c r="Q26" s="63"/>
      <c r="R26" s="63"/>
    </row>
    <row r="27" spans="1:18" ht="20.149999999999999" customHeight="1" x14ac:dyDescent="0.45">
      <c r="A27" s="65"/>
      <c r="B27" s="58">
        <v>520706</v>
      </c>
      <c r="C27" s="212" t="str">
        <f>VLOOKUP(B27,'Sales Master'!A$3:B$524,2,0)</f>
        <v>P5008</v>
      </c>
      <c r="D27" s="461" t="str">
        <f>VLOOKUP(C27,'Sales Master'!B$3:D$530,2,)</f>
        <v>Coconut Sugar 椰糖</v>
      </c>
      <c r="E27" s="461"/>
      <c r="F27" s="461"/>
      <c r="G27" s="76">
        <v>1</v>
      </c>
      <c r="H27" s="247" t="str">
        <f>VLOOKUP(C27,'Sales Master'!$B$3:$F$2413,5,0)</f>
        <v>10 KG/ ctn</v>
      </c>
      <c r="I27" s="462" t="str">
        <f>VLOOKUP(C27,'Sales Master'!$B$3:$E$2413,4,0)</f>
        <v>BL BRAND</v>
      </c>
      <c r="J27" s="462"/>
      <c r="K27" s="83">
        <f>VLOOKUP(C27,'Sales Master'!B$3:I$530,8,0)</f>
        <v>35</v>
      </c>
      <c r="L27" s="84">
        <f t="shared" ref="L27:L31" si="9">K27*G27</f>
        <v>35</v>
      </c>
      <c r="N27" s="145">
        <f>VLOOKUP(C27,'Sales Master'!$B$3:$DA$2272,104,0)</f>
        <v>28</v>
      </c>
      <c r="O27" s="145">
        <f t="shared" ref="O27:O31" si="10">K27-N27</f>
        <v>7</v>
      </c>
      <c r="P27" s="145">
        <f t="shared" ref="P27:P31" si="11">O27*G27</f>
        <v>7</v>
      </c>
      <c r="Q27" s="63"/>
      <c r="R27" s="63"/>
    </row>
    <row r="28" spans="1:18" ht="20.149999999999999" customHeight="1" x14ac:dyDescent="0.45">
      <c r="A28" s="65"/>
      <c r="B28" s="58">
        <v>520733</v>
      </c>
      <c r="C28" s="212" t="str">
        <f>VLOOKUP(B28,'Sales Master'!A$3:B$524,2,0)</f>
        <v>P6002A</v>
      </c>
      <c r="D28" s="461" t="str">
        <f>VLOOKUP(C28,'Sales Master'!B$3:D$530,2,)</f>
        <v>Skinless Sweet Potato 去皮番薯</v>
      </c>
      <c r="E28" s="461"/>
      <c r="F28" s="461"/>
      <c r="G28" s="76">
        <v>3</v>
      </c>
      <c r="H28" s="247" t="str">
        <f>VLOOKUP(C28,'Sales Master'!$B$3:$F$2413,5,0)</f>
        <v>5 KG</v>
      </c>
      <c r="I28" s="462" t="str">
        <f>VLOOKUP(C28,'Sales Master'!$B$3:$E$2413,4,0)</f>
        <v>Malaysia</v>
      </c>
      <c r="J28" s="462"/>
      <c r="K28" s="83">
        <f>VLOOKUP(C28,'Sales Master'!B$3:I$530,8,0)</f>
        <v>16.5</v>
      </c>
      <c r="L28" s="84">
        <f>K28*G28</f>
        <v>49.5</v>
      </c>
      <c r="N28" s="145">
        <f>VLOOKUP(C28,'Sales Master'!$B$3:$DA$2272,104,0)</f>
        <v>9</v>
      </c>
      <c r="O28" s="145">
        <f>K28-N28</f>
        <v>7.5</v>
      </c>
      <c r="P28" s="145">
        <f>O28*G28</f>
        <v>22.5</v>
      </c>
      <c r="Q28" s="63"/>
      <c r="R28" s="63"/>
    </row>
    <row r="29" spans="1:18" ht="20.149999999999999" customHeight="1" x14ac:dyDescent="0.45">
      <c r="A29" s="65"/>
      <c r="B29" s="58">
        <v>520731</v>
      </c>
      <c r="C29" s="212" t="str">
        <f>VLOOKUP(B29,'Sales Master'!A$3:B$524,2,0)</f>
        <v>P6007</v>
      </c>
      <c r="D29" s="461" t="str">
        <f>VLOOKUP(C29,'Sales Master'!B$3:D$530,2,)</f>
        <v>Pandan Leaf 班兰叶</v>
      </c>
      <c r="E29" s="461"/>
      <c r="F29" s="461"/>
      <c r="G29" s="76">
        <v>2</v>
      </c>
      <c r="H29" s="247" t="str">
        <f>VLOOKUP(C29,'Sales Master'!$B$3:$F$2413,5,0)</f>
        <v>1 KG</v>
      </c>
      <c r="I29" s="462" t="str">
        <f>VLOOKUP(C29,'Sales Master'!$B$3:$E$2413,4,0)</f>
        <v>-</v>
      </c>
      <c r="J29" s="462"/>
      <c r="K29" s="83">
        <f>VLOOKUP(C29,'Sales Master'!B$3:I$530,8,0)</f>
        <v>1.8</v>
      </c>
      <c r="L29" s="84">
        <f t="shared" si="9"/>
        <v>3.6</v>
      </c>
      <c r="N29" s="145">
        <f>VLOOKUP(C29,'Sales Master'!$B$3:$DA$2272,104,0)</f>
        <v>1.1000000000000001</v>
      </c>
      <c r="O29" s="145">
        <f t="shared" si="10"/>
        <v>0.7</v>
      </c>
      <c r="P29" s="145">
        <f t="shared" si="11"/>
        <v>1.4</v>
      </c>
      <c r="Q29" s="63"/>
      <c r="R29" s="63"/>
    </row>
    <row r="30" spans="1:18" ht="20.149999999999999" customHeight="1" x14ac:dyDescent="0.45">
      <c r="A30" s="65"/>
      <c r="B30" s="58">
        <v>520792</v>
      </c>
      <c r="C30" s="212" t="str">
        <f>VLOOKUP(B30,'Sales Master'!A$3:B$524,2,0)</f>
        <v>P6014</v>
      </c>
      <c r="D30" s="461" t="str">
        <f>VLOOKUP(C30,'Sales Master'!B$3:D$530,2,)</f>
        <v>Yu Tiao 油条</v>
      </c>
      <c r="E30" s="461"/>
      <c r="F30" s="461"/>
      <c r="G30" s="76">
        <v>2</v>
      </c>
      <c r="H30" s="247" t="str">
        <f>VLOOKUP(C30,'Sales Master'!$B$3:$F$2413,5,0)</f>
        <v>10 PCS/PKT</v>
      </c>
      <c r="I30" s="462" t="str">
        <f>VLOOKUP(C30,'Sales Master'!$B$3:$E$2413,4,0)</f>
        <v>-</v>
      </c>
      <c r="J30" s="462"/>
      <c r="K30" s="83">
        <f>VLOOKUP(C30,'Sales Master'!B$3:I$530,8,0)</f>
        <v>5.5</v>
      </c>
      <c r="L30" s="84">
        <f>K30*G30</f>
        <v>11</v>
      </c>
      <c r="N30" s="145">
        <f>VLOOKUP(C30,'Sales Master'!$B$3:$DA$2272,104,0)</f>
        <v>0.45</v>
      </c>
      <c r="O30" s="145">
        <f>K30-N30</f>
        <v>5.05</v>
      </c>
      <c r="P30" s="145">
        <f>O30*G30</f>
        <v>10.1</v>
      </c>
      <c r="Q30" s="63"/>
      <c r="R30" s="63"/>
    </row>
    <row r="31" spans="1:18" ht="20.149999999999999" customHeight="1" x14ac:dyDescent="0.45">
      <c r="A31" s="65"/>
      <c r="B31" s="58">
        <v>520740</v>
      </c>
      <c r="C31" s="212" t="str">
        <f>VLOOKUP(B31,'Sales Master'!A$3:B$524,2,0)</f>
        <v>M1037A</v>
      </c>
      <c r="D31" s="461" t="str">
        <f>VLOOKUP(C31,'Sales Master'!B$3:D$530,2,)</f>
        <v>Rock Sugar Syrup 冰糖浆</v>
      </c>
      <c r="E31" s="461"/>
      <c r="F31" s="461"/>
      <c r="G31" s="76">
        <v>12</v>
      </c>
      <c r="H31" s="247" t="str">
        <f>VLOOKUP(C31,'Sales Master'!$B$3:$F$2413,5,0)</f>
        <v>5 KG</v>
      </c>
      <c r="I31" s="462" t="str">
        <f>VLOOKUP(C31,'Sales Master'!$B$3:$E$2413,4,0)</f>
        <v>DO!</v>
      </c>
      <c r="J31" s="462"/>
      <c r="K31" s="83">
        <f>VLOOKUP(C31,'Sales Master'!B$3:I$530,8,0)</f>
        <v>10.5</v>
      </c>
      <c r="L31" s="84">
        <f t="shared" si="9"/>
        <v>126</v>
      </c>
      <c r="N31" s="145">
        <f>VLOOKUP(C31,'Sales Master'!$B$3:$DA$2272,104,0)</f>
        <v>5.86</v>
      </c>
      <c r="O31" s="145">
        <f t="shared" si="10"/>
        <v>4.6399999999999997</v>
      </c>
      <c r="P31" s="145">
        <f t="shared" si="11"/>
        <v>55.679999999999993</v>
      </c>
      <c r="Q31" s="63"/>
      <c r="R31" s="63"/>
    </row>
    <row r="32" spans="1:18" ht="20.149999999999999" customHeight="1" x14ac:dyDescent="0.45">
      <c r="A32" s="65"/>
      <c r="B32" s="242"/>
      <c r="C32" s="212"/>
      <c r="D32" s="461"/>
      <c r="E32" s="461"/>
      <c r="F32" s="461"/>
      <c r="G32" s="76"/>
      <c r="H32" s="247"/>
      <c r="I32" s="462"/>
      <c r="J32" s="462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3"/>
      <c r="C33" s="212"/>
      <c r="D33" s="461"/>
      <c r="E33" s="461"/>
      <c r="F33" s="461"/>
      <c r="G33" s="76"/>
      <c r="H33" s="247"/>
      <c r="I33" s="462"/>
      <c r="J33" s="462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3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4"/>
      <c r="J35" s="514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2" t="s">
        <v>13</v>
      </c>
      <c r="K37" s="513"/>
      <c r="L37" s="143">
        <f>SUM(L18:L36)</f>
        <v>505.6</v>
      </c>
      <c r="M37" s="63">
        <f>SUM(P18:P36)</f>
        <v>190.82</v>
      </c>
      <c r="N37" s="133">
        <f>M37/L37</f>
        <v>0.37741297468354429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57" t="s">
        <v>19</v>
      </c>
      <c r="K39" s="458"/>
      <c r="L39" s="41">
        <f>L37-L38</f>
        <v>505.6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45.503999999999998</v>
      </c>
    </row>
    <row r="41" spans="1:18" ht="20.149999999999999" customHeight="1" thickBot="1" x14ac:dyDescent="0.5">
      <c r="B41" s="10" t="s">
        <v>700</v>
      </c>
      <c r="C41" s="6"/>
      <c r="D41" s="6"/>
      <c r="E41" s="6"/>
      <c r="F41" s="6"/>
      <c r="G41" s="6"/>
      <c r="H41" s="6"/>
      <c r="I41" s="6"/>
      <c r="J41" s="459" t="s">
        <v>21</v>
      </c>
      <c r="K41" s="460"/>
      <c r="L41" s="43">
        <f>L39+L40</f>
        <v>551.10400000000004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690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32:F32"/>
    <mergeCell ref="I32:J32"/>
    <mergeCell ref="I28:J28"/>
    <mergeCell ref="D28:F28"/>
    <mergeCell ref="D19:F19"/>
    <mergeCell ref="I17:J17"/>
    <mergeCell ref="I23:J23"/>
    <mergeCell ref="D18:F18"/>
    <mergeCell ref="I18:J18"/>
    <mergeCell ref="I20:J20"/>
    <mergeCell ref="I26:J26"/>
    <mergeCell ref="D20:F20"/>
    <mergeCell ref="D26:F26"/>
    <mergeCell ref="I19:J19"/>
    <mergeCell ref="D22:F22"/>
    <mergeCell ref="J41:K41"/>
    <mergeCell ref="I30:J30"/>
    <mergeCell ref="I27:J27"/>
    <mergeCell ref="D30:F30"/>
    <mergeCell ref="D27:F27"/>
    <mergeCell ref="I35:J35"/>
    <mergeCell ref="J37:K37"/>
    <mergeCell ref="J39:K39"/>
    <mergeCell ref="D33:F33"/>
    <mergeCell ref="I29:J29"/>
    <mergeCell ref="I33:J33"/>
    <mergeCell ref="I22:J22"/>
    <mergeCell ref="D21:F21"/>
    <mergeCell ref="I21:J21"/>
    <mergeCell ref="D23:F23"/>
    <mergeCell ref="I24:J24"/>
    <mergeCell ref="D24:F24"/>
    <mergeCell ref="I25:J25"/>
    <mergeCell ref="I31:J31"/>
    <mergeCell ref="D25:F25"/>
    <mergeCell ref="D31:F31"/>
    <mergeCell ref="D29:F29"/>
  </mergeCells>
  <hyperlinks>
    <hyperlink ref="B15" r:id="rId1" xr:uid="{4C3D2FCC-EABE-4AC5-AE6D-9C1D686B3137}"/>
  </hyperlinks>
  <pageMargins left="0.74803149606299213" right="0" top="0" bottom="0" header="0" footer="0"/>
  <pageSetup paperSize="9" scale="71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7030A0"/>
    <pageSetUpPr fitToPage="1"/>
  </sheetPr>
  <dimension ref="B1:O51"/>
  <sheetViews>
    <sheetView topLeftCell="B12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f>'#01'!M1</f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89</v>
      </c>
      <c r="J10" s="24" t="s">
        <v>27</v>
      </c>
      <c r="K10" s="493">
        <v>202001279</v>
      </c>
      <c r="L10" s="494"/>
    </row>
    <row r="11" spans="2:13" ht="20.149999999999999" customHeight="1" x14ac:dyDescent="0.45">
      <c r="B11" s="477" t="s">
        <v>335</v>
      </c>
      <c r="C11" s="478"/>
      <c r="D11" s="479"/>
      <c r="E11" s="25"/>
      <c r="F11" s="480" t="str">
        <f>VLOOKUP(H10,'Delivery Location'!A$4:N$460,2,0)</f>
        <v xml:space="preserve">Koufu - (Drink)                                             6, Raffles Boulevard #04-101/102 Marina Square Singapore 039594                 </v>
      </c>
      <c r="G11" s="481"/>
      <c r="H11" s="482"/>
      <c r="J11" s="26" t="s">
        <v>9</v>
      </c>
      <c r="K11" s="504" t="s">
        <v>573</v>
      </c>
      <c r="L11" s="464"/>
    </row>
    <row r="12" spans="2:13" ht="20.149999999999999" customHeight="1" x14ac:dyDescent="0.45">
      <c r="B12" s="488" t="s">
        <v>336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3" ht="20.149999999999999" customHeight="1" x14ac:dyDescent="0.45">
      <c r="B13" s="488" t="s">
        <v>337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372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305</v>
      </c>
      <c r="D18" s="461" t="e">
        <f>VLOOKUP(C18,'Sales Master'!B$3:D$530,2,)</f>
        <v>#N/A</v>
      </c>
      <c r="E18" s="461"/>
      <c r="F18" s="461"/>
      <c r="G18" s="17">
        <v>2</v>
      </c>
      <c r="H18" s="56"/>
      <c r="I18" s="491"/>
      <c r="J18" s="491"/>
      <c r="K18" s="30"/>
      <c r="L18" s="31"/>
    </row>
    <row r="19" spans="2:15" ht="20.149999999999999" customHeight="1" x14ac:dyDescent="0.45">
      <c r="B19" s="29"/>
      <c r="C19" s="17" t="s">
        <v>314</v>
      </c>
      <c r="D19" s="461" t="e">
        <f>VLOOKUP(C19,'Sales Master'!B$3:D$530,2,)</f>
        <v>#N/A</v>
      </c>
      <c r="E19" s="461"/>
      <c r="F19" s="461"/>
      <c r="G19" s="17">
        <v>1</v>
      </c>
      <c r="H19" s="56"/>
      <c r="I19" s="491"/>
      <c r="J19" s="491"/>
      <c r="K19" s="30"/>
      <c r="L19" s="31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91"/>
      <c r="J20" s="491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31"/>
    </row>
    <row r="22" spans="2:15" ht="20.149999999999999" customHeight="1" x14ac:dyDescent="0.45">
      <c r="B22" s="29"/>
      <c r="C22" s="17"/>
      <c r="G22" s="17"/>
      <c r="H22" s="56"/>
      <c r="I22" s="473"/>
      <c r="J22" s="473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73"/>
      <c r="J23" s="473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73"/>
      <c r="J28" s="473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73"/>
      <c r="J29" s="473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73"/>
      <c r="J30" s="473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90"/>
      <c r="E37" s="490"/>
      <c r="F37" s="490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SUM(L17:L37)</f>
        <v>0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0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0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0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I22:J22"/>
    <mergeCell ref="D19:F19"/>
    <mergeCell ref="I19:J19"/>
    <mergeCell ref="J41:K41"/>
    <mergeCell ref="J43:K43"/>
    <mergeCell ref="I30:J30"/>
    <mergeCell ref="D34:F34"/>
    <mergeCell ref="D35:F35"/>
    <mergeCell ref="D36:F36"/>
    <mergeCell ref="D37:F37"/>
    <mergeCell ref="J39:K39"/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</mergeCells>
  <pageMargins left="0.70866141732283505" right="0.31496062992126" top="2.1653543307086598" bottom="0" header="0.31496062992126" footer="0.31496062992126"/>
  <pageSetup paperSize="9" scale="7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C000"/>
    <pageSetUpPr fitToPage="1"/>
  </sheetPr>
  <dimension ref="B1:R47"/>
  <sheetViews>
    <sheetView topLeftCell="A19" workbookViewId="0">
      <selection activeCell="G27" sqref="G2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420</v>
      </c>
      <c r="J10" s="24" t="s">
        <v>27</v>
      </c>
      <c r="K10" s="493">
        <v>202501233</v>
      </c>
      <c r="L10" s="494"/>
    </row>
    <row r="11" spans="2:12" ht="20.149999999999999" customHeight="1" x14ac:dyDescent="0.45">
      <c r="B11" s="477" t="s">
        <v>703</v>
      </c>
      <c r="C11" s="478"/>
      <c r="D11" s="479"/>
      <c r="E11" s="25"/>
      <c r="F11" s="480" t="str">
        <f>VLOOKUP(H10,'Delivery Location'!A$4:N$460,2,0)</f>
        <v>Combines Stall / Century Square                           Stall #01                                                                    2, Tampines Central 5, #03-20       Century Square</v>
      </c>
      <c r="G11" s="481"/>
      <c r="H11" s="482"/>
      <c r="J11" s="26" t="s">
        <v>9</v>
      </c>
      <c r="K11" s="495">
        <v>45667</v>
      </c>
      <c r="L11" s="496"/>
    </row>
    <row r="12" spans="2:12" ht="20.149999999999999" customHeight="1" x14ac:dyDescent="0.45">
      <c r="B12" s="488" t="s">
        <v>546</v>
      </c>
      <c r="C12" s="449"/>
      <c r="D12" s="489"/>
      <c r="E12" s="25"/>
      <c r="F12" s="483"/>
      <c r="G12" s="484"/>
      <c r="H12" s="485"/>
      <c r="J12" s="26" t="s">
        <v>145</v>
      </c>
      <c r="K12" s="463">
        <v>4500320397</v>
      </c>
      <c r="L12" s="464"/>
    </row>
    <row r="13" spans="2:12" ht="20.149999999999999" customHeight="1" x14ac:dyDescent="0.45">
      <c r="B13" s="488" t="s">
        <v>547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632</v>
      </c>
      <c r="L13" s="464"/>
    </row>
    <row r="14" spans="2:12" ht="20.149999999999999" customHeight="1" x14ac:dyDescent="0.45">
      <c r="B14" s="488" t="s">
        <v>548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15" t="s">
        <v>549</v>
      </c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520704</v>
      </c>
      <c r="C18" s="212" t="str">
        <f>VLOOKUP(B18,'Sales Master'!A$3:B$524,2,0)</f>
        <v>M1014</v>
      </c>
      <c r="D18" s="461" t="str">
        <f>VLOOKUP(C18,'Sales Master'!B$3:D$530,2,)</f>
        <v>Chendol 浆咯</v>
      </c>
      <c r="E18" s="461"/>
      <c r="F18" s="461"/>
      <c r="G18" s="76">
        <v>2</v>
      </c>
      <c r="H18" s="247" t="str">
        <f>VLOOKUP(C18,'Sales Master'!$B$3:$F$2413,5,0)</f>
        <v>NW(2.2:0.8) 3kg/ Bag包</v>
      </c>
      <c r="I18" s="462" t="str">
        <f>VLOOKUP(C18,'Sales Master'!$B$3:$E$2413,4,0)</f>
        <v>DO!</v>
      </c>
      <c r="J18" s="462"/>
      <c r="K18" s="80">
        <f>VLOOKUP(C18,'Sales Master'!B$3:I$530,8,0)</f>
        <v>6.5</v>
      </c>
      <c r="L18" s="64">
        <f t="shared" ref="L18" si="0">G18*K18</f>
        <v>13</v>
      </c>
      <c r="M18" s="65"/>
    </row>
    <row r="19" spans="2:18" ht="20.149999999999999" customHeight="1" x14ac:dyDescent="0.45">
      <c r="B19" s="58">
        <v>520738</v>
      </c>
      <c r="C19" s="212" t="str">
        <f>VLOOKUP(B19,'Sales Master'!A$3:B$524,2,0)</f>
        <v>P3005A</v>
      </c>
      <c r="D19" s="461" t="str">
        <f>VLOOKUP(C19,'Sales Master'!B$3:D$530,2,)</f>
        <v>Red Bean 红豆 (5.5 mm)</v>
      </c>
      <c r="E19" s="461"/>
      <c r="F19" s="461"/>
      <c r="G19" s="76">
        <v>1</v>
      </c>
      <c r="H19" s="247" t="str">
        <f>VLOOKUP(C19,'Sales Master'!$B$3:$F$2413,5,0)</f>
        <v>5 KG</v>
      </c>
      <c r="I19" s="462" t="str">
        <f>VLOOKUP(C19,'Sales Master'!$B$3:$E$2413,4,0)</f>
        <v>-</v>
      </c>
      <c r="J19" s="462"/>
      <c r="K19" s="80">
        <f>VLOOKUP(C19,'Sales Master'!B$3:I$530,8,0)</f>
        <v>17.5</v>
      </c>
      <c r="L19" s="64">
        <f>G19*K19</f>
        <v>17.5</v>
      </c>
      <c r="M19" s="65"/>
    </row>
    <row r="20" spans="2:18" ht="20.149999999999999" customHeight="1" x14ac:dyDescent="0.45">
      <c r="B20" s="58">
        <v>520696</v>
      </c>
      <c r="C20" s="212" t="str">
        <f>VLOOKUP(B20,'Sales Master'!A$3:B$524,2,0)</f>
        <v>P3016A</v>
      </c>
      <c r="D20" s="461" t="str">
        <f>VLOOKUP(C20,'Sales Master'!B$3:D$530,2,)</f>
        <v>Pearl Barley 薏米</v>
      </c>
      <c r="E20" s="461"/>
      <c r="F20" s="461"/>
      <c r="G20" s="76">
        <v>1</v>
      </c>
      <c r="H20" s="247" t="str">
        <f>VLOOKUP(C20,'Sales Master'!$B$3:$F$2413,5,0)</f>
        <v>5 KG</v>
      </c>
      <c r="I20" s="462" t="str">
        <f>VLOOKUP(C20,'Sales Master'!$B$3:$E$2413,4,0)</f>
        <v>-</v>
      </c>
      <c r="J20" s="462"/>
      <c r="K20" s="80">
        <f>VLOOKUP(C20,'Sales Master'!B$3:I$530,8,0)</f>
        <v>10</v>
      </c>
      <c r="L20" s="64">
        <f t="shared" ref="L20" si="1">G20*K20</f>
        <v>10</v>
      </c>
      <c r="M20" s="65"/>
    </row>
    <row r="21" spans="2:18" ht="20.149999999999999" customHeight="1" x14ac:dyDescent="0.45">
      <c r="B21" s="58">
        <v>520714</v>
      </c>
      <c r="C21" s="212" t="str">
        <f>VLOOKUP(B21,'Sales Master'!A$3:B$524,2,0)</f>
        <v>P3019A</v>
      </c>
      <c r="D21" s="461" t="str">
        <f>VLOOKUP(C21,'Sales Master'!B$3:D$530,2,)</f>
        <v>Dried Longan 龙眼干</v>
      </c>
      <c r="E21" s="461"/>
      <c r="F21" s="461"/>
      <c r="G21" s="76">
        <v>10</v>
      </c>
      <c r="H21" s="247" t="str">
        <f>VLOOKUP(C21,'Sales Master'!$B$3:$F$2413,5,0)</f>
        <v>1 kg</v>
      </c>
      <c r="I21" s="462" t="str">
        <f>VLOOKUP(C21,'Sales Master'!$B$3:$E$2413,4,0)</f>
        <v>TL</v>
      </c>
      <c r="J21" s="462"/>
      <c r="K21" s="80">
        <f>VLOOKUP(C21,'Sales Master'!B$3:I$530,8,0)</f>
        <v>13</v>
      </c>
      <c r="L21" s="64">
        <f>G21*K21</f>
        <v>130</v>
      </c>
      <c r="M21" s="65"/>
    </row>
    <row r="22" spans="2:18" ht="20.149999999999999" customHeight="1" x14ac:dyDescent="0.45">
      <c r="B22" s="58">
        <v>520728</v>
      </c>
      <c r="C22" s="212" t="str">
        <f>VLOOKUP(B22,'Sales Master'!A$3:B$524,2,0)</f>
        <v>P4010</v>
      </c>
      <c r="D22" s="461" t="str">
        <f>VLOOKUP(C22,'Sales Master'!B$3:D$530,2,)</f>
        <v>Lychee in Syrup 荔枝</v>
      </c>
      <c r="E22" s="461"/>
      <c r="F22" s="461"/>
      <c r="G22" s="76">
        <v>3</v>
      </c>
      <c r="H22" s="247" t="str">
        <f>VLOOKUP(C22,'Sales Master'!$B$3:$F$2413,5,0)</f>
        <v>12can/箱</v>
      </c>
      <c r="I22" s="462" t="str">
        <f>VLOOKUP(C22,'Sales Master'!$B$3:$E$2413,4,0)</f>
        <v>MiLi</v>
      </c>
      <c r="J22" s="462"/>
      <c r="K22" s="80">
        <f>VLOOKUP(C22,'Sales Master'!B$3:I$530,8,0)</f>
        <v>24</v>
      </c>
      <c r="L22" s="64">
        <f>G22*K22</f>
        <v>72</v>
      </c>
      <c r="M22" s="65"/>
    </row>
    <row r="23" spans="2:18" ht="20.149999999999999" customHeight="1" x14ac:dyDescent="0.45">
      <c r="B23" s="58">
        <v>520719</v>
      </c>
      <c r="C23" s="212" t="str">
        <f>VLOOKUP(B23,'Sales Master'!A$3:B$524,2,0)</f>
        <v>P4013</v>
      </c>
      <c r="D23" s="461" t="str">
        <f>VLOOKUP(C23,'Sales Master'!B$3:D$530,2,)</f>
        <v>Fruit Cocktail 杂果</v>
      </c>
      <c r="E23" s="461"/>
      <c r="F23" s="461"/>
      <c r="G23" s="76">
        <v>1</v>
      </c>
      <c r="H23" s="247" t="str">
        <f>VLOOKUP(C23,'Sales Master'!$B$3:$F$2413,5,0)</f>
        <v>820 GM x 12/ Ctn箱</v>
      </c>
      <c r="I23" s="462" t="str">
        <f>VLOOKUP(C23,'Sales Master'!$B$3:$E$2413,4,0)</f>
        <v>Statue</v>
      </c>
      <c r="J23" s="462"/>
      <c r="K23" s="80">
        <f>VLOOKUP(C23,'Sales Master'!B$3:I$530,8,0)</f>
        <v>37</v>
      </c>
      <c r="L23" s="64">
        <f>G23*K23</f>
        <v>37</v>
      </c>
      <c r="M23" s="65"/>
    </row>
    <row r="24" spans="2:18" ht="20.149999999999999" customHeight="1" x14ac:dyDescent="0.45">
      <c r="B24" s="58">
        <v>520711</v>
      </c>
      <c r="C24" s="212" t="str">
        <f>VLOOKUP(B24,'Sales Master'!A$3:B$524,2,0)</f>
        <v>P4014</v>
      </c>
      <c r="D24" s="461" t="str">
        <f>VLOOKUP(C24,'Sales Master'!B$3:D$530,2,)</f>
        <v>Cream Corn 玉米浆</v>
      </c>
      <c r="E24" s="461"/>
      <c r="F24" s="461"/>
      <c r="G24" s="76">
        <v>1</v>
      </c>
      <c r="H24" s="247" t="str">
        <f>VLOOKUP(C24,'Sales Master'!$B$3:$F$2413,5,0)</f>
        <v>410 GM x 24/ Ctn箱</v>
      </c>
      <c r="I24" s="462" t="str">
        <f>VLOOKUP(C24,'Sales Master'!$B$3:$E$2413,4,0)</f>
        <v>Statue</v>
      </c>
      <c r="J24" s="462"/>
      <c r="K24" s="80">
        <f>VLOOKUP(C24,'Sales Master'!B$3:I$530,8,0)</f>
        <v>23</v>
      </c>
      <c r="L24" s="64">
        <f>G24*K24</f>
        <v>23</v>
      </c>
      <c r="M24" s="65"/>
    </row>
    <row r="25" spans="2:18" ht="20.149999999999999" customHeight="1" x14ac:dyDescent="0.45">
      <c r="B25" s="58">
        <v>520700</v>
      </c>
      <c r="C25" s="212" t="str">
        <f>VLOOKUP(B25,'Sales Master'!A$3:B$524,2,0)</f>
        <v>P5002A</v>
      </c>
      <c r="D25" s="461" t="str">
        <f>VLOOKUP(C25,'Sales Master'!B$3:D$530,2,)</f>
        <v>Brown Sugar 黑糖</v>
      </c>
      <c r="E25" s="461"/>
      <c r="F25" s="461"/>
      <c r="G25" s="76">
        <v>2</v>
      </c>
      <c r="H25" s="247" t="str">
        <f>VLOOKUP(C25,'Sales Master'!$B$3:$F$2413,5,0)</f>
        <v>6 KG</v>
      </c>
      <c r="I25" s="462" t="str">
        <f>VLOOKUP(C25,'Sales Master'!$B$3:$E$2413,4,0)</f>
        <v>Star</v>
      </c>
      <c r="J25" s="462"/>
      <c r="K25" s="80">
        <f>VLOOKUP(C25,'Sales Master'!B$3:I$530,8,0)</f>
        <v>15.5</v>
      </c>
      <c r="L25" s="64">
        <f>G25*K25</f>
        <v>31</v>
      </c>
      <c r="M25" s="65"/>
    </row>
    <row r="26" spans="2:18" ht="20.149999999999999" customHeight="1" x14ac:dyDescent="0.45">
      <c r="B26" s="58">
        <v>520706</v>
      </c>
      <c r="C26" s="212" t="str">
        <f>VLOOKUP(B26,'Sales Master'!A$3:B$524,2,0)</f>
        <v>P5008</v>
      </c>
      <c r="D26" s="461" t="str">
        <f>VLOOKUP(C26,'Sales Master'!B$3:D$530,2,)</f>
        <v>Coconut Sugar 椰糖</v>
      </c>
      <c r="E26" s="461"/>
      <c r="F26" s="461"/>
      <c r="G26" s="76">
        <v>2</v>
      </c>
      <c r="H26" s="247" t="str">
        <f>VLOOKUP(C26,'Sales Master'!$B$3:$F$2413,5,0)</f>
        <v>10 KG/ ctn</v>
      </c>
      <c r="I26" s="462" t="str">
        <f>VLOOKUP(C26,'Sales Master'!$B$3:$E$2413,4,0)</f>
        <v>BL BRAND</v>
      </c>
      <c r="J26" s="462"/>
      <c r="K26" s="80">
        <f>VLOOKUP(C26,'Sales Master'!B$3:I$530,8,0)</f>
        <v>35</v>
      </c>
      <c r="L26" s="64">
        <f>G26*K26</f>
        <v>70</v>
      </c>
      <c r="M26" s="65"/>
    </row>
    <row r="27" spans="2:18" ht="20.149999999999999" customHeight="1" x14ac:dyDescent="0.45">
      <c r="B27" s="58">
        <v>520731</v>
      </c>
      <c r="C27" s="212" t="str">
        <f>VLOOKUP(B27,'Sales Master'!A$3:B$524,2,0)</f>
        <v>P6007</v>
      </c>
      <c r="D27" s="461" t="str">
        <f>VLOOKUP(C27,'Sales Master'!B$3:D$530,2,)</f>
        <v>Pandan Leaf 班兰叶</v>
      </c>
      <c r="E27" s="461"/>
      <c r="F27" s="461"/>
      <c r="G27" s="76">
        <v>1</v>
      </c>
      <c r="H27" s="247" t="str">
        <f>VLOOKUP(C27,'Sales Master'!$B$3:$F$2413,5,0)</f>
        <v>1 KG</v>
      </c>
      <c r="I27" s="462" t="str">
        <f>VLOOKUP(C27,'Sales Master'!$B$3:$E$2413,4,0)</f>
        <v>-</v>
      </c>
      <c r="J27" s="462"/>
      <c r="K27" s="80">
        <f>VLOOKUP(C27,'Sales Master'!B$3:I$530,8,0)</f>
        <v>1.8</v>
      </c>
      <c r="L27" s="64">
        <f t="shared" ref="L27:L28" si="2">G27*K27</f>
        <v>1.8</v>
      </c>
      <c r="M27" s="65"/>
    </row>
    <row r="28" spans="2:18" ht="20.149999999999999" customHeight="1" x14ac:dyDescent="0.45">
      <c r="B28" s="58">
        <v>520740</v>
      </c>
      <c r="C28" s="212" t="str">
        <f>VLOOKUP(B28,'Sales Master'!A$3:B$524,2,0)</f>
        <v>M1037A</v>
      </c>
      <c r="D28" s="461" t="str">
        <f>VLOOKUP(C28,'Sales Master'!B$3:D$530,2,)</f>
        <v>Rock Sugar Syrup 冰糖浆</v>
      </c>
      <c r="E28" s="461"/>
      <c r="F28" s="461"/>
      <c r="G28" s="76">
        <v>8</v>
      </c>
      <c r="H28" s="247" t="str">
        <f>VLOOKUP(C28,'Sales Master'!$B$3:$F$2413,5,0)</f>
        <v>5 KG</v>
      </c>
      <c r="I28" s="462" t="str">
        <f>VLOOKUP(C28,'Sales Master'!$B$3:$E$2413,4,0)</f>
        <v>DO!</v>
      </c>
      <c r="J28" s="462"/>
      <c r="K28" s="80">
        <f>VLOOKUP(C28,'Sales Master'!B$3:I$530,8,0)</f>
        <v>10.5</v>
      </c>
      <c r="L28" s="64">
        <f t="shared" si="2"/>
        <v>84</v>
      </c>
      <c r="M28" s="65"/>
    </row>
    <row r="29" spans="2:18" ht="20.149999999999999" customHeight="1" x14ac:dyDescent="0.45">
      <c r="B29" s="243"/>
      <c r="C29" s="212"/>
      <c r="D29" s="461"/>
      <c r="E29" s="461"/>
      <c r="F29" s="461"/>
      <c r="G29" s="76"/>
      <c r="H29" s="183"/>
      <c r="I29" s="462"/>
      <c r="J29" s="462"/>
      <c r="K29" s="80"/>
      <c r="L29" s="64"/>
      <c r="M29" s="65"/>
    </row>
    <row r="30" spans="2:18" ht="20.149999999999999" customHeight="1" x14ac:dyDescent="0.45">
      <c r="B30" s="243"/>
      <c r="C30" s="212"/>
      <c r="G30" s="76"/>
      <c r="H30" s="183"/>
      <c r="I30" s="209"/>
      <c r="J30" s="209"/>
      <c r="K30" s="80"/>
      <c r="L30" s="64"/>
      <c r="M30" s="65"/>
    </row>
    <row r="31" spans="2:18" ht="20.149999999999999" customHeight="1" x14ac:dyDescent="0.45">
      <c r="B31" s="243"/>
      <c r="C31" s="212"/>
      <c r="G31" s="76"/>
      <c r="H31" s="183"/>
      <c r="I31" s="209"/>
      <c r="J31" s="209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G32" s="76"/>
      <c r="H32" s="183"/>
      <c r="I32" s="209"/>
      <c r="J32" s="209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48"/>
      <c r="E33" s="548"/>
      <c r="F33" s="548"/>
      <c r="G33" s="97"/>
      <c r="H33" s="124"/>
      <c r="I33" s="535"/>
      <c r="J33" s="535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46" t="s">
        <v>13</v>
      </c>
      <c r="K34" s="547"/>
      <c r="L34" s="121">
        <f>SUM(L18:L33)</f>
        <v>489.3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489.3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44.036999999999999</v>
      </c>
    </row>
    <row r="38" spans="2:17" ht="20.149999999999999" customHeight="1" thickBot="1" x14ac:dyDescent="0.5">
      <c r="B38" s="10" t="s">
        <v>700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533.33699999999999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3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690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201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9:F19"/>
    <mergeCell ref="I19:J19"/>
    <mergeCell ref="D24:F24"/>
    <mergeCell ref="I24:J24"/>
    <mergeCell ref="D22:F22"/>
    <mergeCell ref="I22:J22"/>
    <mergeCell ref="D25:F25"/>
    <mergeCell ref="I25:J25"/>
    <mergeCell ref="D18:F18"/>
    <mergeCell ref="I18:J18"/>
    <mergeCell ref="D21:F21"/>
    <mergeCell ref="I23:J23"/>
    <mergeCell ref="I21:J21"/>
    <mergeCell ref="D20:F20"/>
    <mergeCell ref="J38:K38"/>
    <mergeCell ref="D33:F33"/>
    <mergeCell ref="I33:J33"/>
    <mergeCell ref="J34:K34"/>
    <mergeCell ref="J36:K36"/>
    <mergeCell ref="I20:J20"/>
    <mergeCell ref="D23:F23"/>
    <mergeCell ref="D27:F27"/>
    <mergeCell ref="I27:J27"/>
    <mergeCell ref="I29:J29"/>
    <mergeCell ref="D29:F29"/>
    <mergeCell ref="D28:F28"/>
    <mergeCell ref="I28:J28"/>
    <mergeCell ref="I26:J26"/>
    <mergeCell ref="D26:F26"/>
  </mergeCells>
  <hyperlinks>
    <hyperlink ref="B15" r:id="rId1" xr:uid="{2ECD0FCE-4143-4625-AF56-6C0585EDA636}"/>
  </hyperlinks>
  <pageMargins left="0.70866141732283472" right="0.31496062992125984" top="0.23622047244094491" bottom="0.23622047244094491" header="0.31496062992125984" footer="0.31496062992125984"/>
  <pageSetup paperSize="9" scale="72" orientation="portrait" r:id="rId2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8"/>
  <sheetViews>
    <sheetView topLeftCell="A31" zoomScaleNormal="100" zoomScaleSheetLayoutView="98" workbookViewId="0">
      <selection activeCell="C30" sqref="C30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2.54296875" style="17" customWidth="1"/>
    <col min="4" max="4" width="12.54296875" style="19" customWidth="1"/>
    <col min="5" max="5" width="1.54296875" style="19" customWidth="1"/>
    <col min="6" max="6" width="19.54296875" style="19" customWidth="1"/>
    <col min="7" max="7" width="8.54296875" style="19" customWidth="1"/>
    <col min="8" max="8" width="18.089843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3.453125" style="19" bestFit="1" customWidth="1"/>
    <col min="13" max="13" width="12.54296875" style="19"/>
    <col min="14" max="16" width="12.6328125" style="19" customWidth="1"/>
    <col min="17" max="17" width="14.6328125" style="19" customWidth="1"/>
    <col min="18" max="22" width="8.6328125" style="19" customWidth="1"/>
    <col min="23" max="16384" width="12.54296875" style="19"/>
  </cols>
  <sheetData>
    <row r="1" spans="2:17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7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7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7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7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7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7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7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1"/>
      <c r="D10" s="21"/>
      <c r="E10" s="21"/>
      <c r="F10" s="22" t="s">
        <v>8</v>
      </c>
      <c r="G10" s="23"/>
      <c r="H10" s="23" t="s">
        <v>441</v>
      </c>
      <c r="J10" s="24" t="s">
        <v>27</v>
      </c>
      <c r="K10" s="493">
        <v>202501121</v>
      </c>
      <c r="L10" s="494"/>
    </row>
    <row r="11" spans="2:17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Tong Shui Desserts                                       101, Upper Cross Street #02-49.                   People's Park Centre, Singapore 058357</v>
      </c>
      <c r="G11" s="481"/>
      <c r="H11" s="482"/>
      <c r="J11" s="26" t="s">
        <v>9</v>
      </c>
      <c r="K11" s="495">
        <v>45663</v>
      </c>
      <c r="L11" s="496"/>
    </row>
    <row r="12" spans="2:17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504" t="s">
        <v>350</v>
      </c>
      <c r="L12" s="464"/>
      <c r="O12" s="461"/>
      <c r="P12" s="461"/>
      <c r="Q12" s="461"/>
    </row>
    <row r="13" spans="2:17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506" t="s">
        <v>720</v>
      </c>
      <c r="L13" s="507"/>
      <c r="N13" s="212" t="s">
        <v>1001</v>
      </c>
      <c r="O13" s="461" t="s">
        <v>1931</v>
      </c>
      <c r="P13" s="461"/>
      <c r="Q13" s="461"/>
    </row>
    <row r="14" spans="2:17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212" t="s">
        <v>1002</v>
      </c>
      <c r="O14" s="461" t="s">
        <v>1572</v>
      </c>
      <c r="P14" s="461"/>
      <c r="Q14" s="461"/>
    </row>
    <row r="15" spans="2:17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7" ht="19" thickBot="1" x14ac:dyDescent="0.5">
      <c r="J16" s="17"/>
      <c r="N16" s="93"/>
    </row>
    <row r="17" spans="2:17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93"/>
    </row>
    <row r="18" spans="2:17" ht="20.149999999999999" customHeight="1" x14ac:dyDescent="0.45">
      <c r="B18" s="58"/>
      <c r="C18" s="212" t="s">
        <v>810</v>
      </c>
      <c r="D18" s="461" t="str">
        <f>VLOOKUP(C18,'Sales Master'!B$3:D$530,2,)</f>
        <v>Tapioca Flour 茨粉</v>
      </c>
      <c r="E18" s="461"/>
      <c r="F18" s="461"/>
      <c r="G18" s="76">
        <v>10</v>
      </c>
      <c r="H18" s="186" t="str">
        <f>VLOOKUP(C18,'Sales Master'!$B$3:$F$2413,5,0)</f>
        <v xml:space="preserve">500 GM/pkt </v>
      </c>
      <c r="I18" s="497" t="str">
        <f>VLOOKUP(C18,'Sales Master'!$B$3:$E$2413,4,0)</f>
        <v>F/man 飞人</v>
      </c>
      <c r="J18" s="497"/>
      <c r="K18" s="184">
        <f>VLOOKUP(C18,'Sales Master'!B$3:R$2749,17,0)</f>
        <v>0.9</v>
      </c>
      <c r="L18" s="84">
        <f t="shared" ref="L18" si="0">K18*G18</f>
        <v>9</v>
      </c>
      <c r="M18" s="65"/>
      <c r="O18" s="461"/>
      <c r="P18" s="461"/>
      <c r="Q18" s="461"/>
    </row>
    <row r="19" spans="2:17" ht="20.149999999999999" customHeight="1" x14ac:dyDescent="0.45">
      <c r="B19" s="58"/>
      <c r="C19" s="244" t="s">
        <v>836</v>
      </c>
      <c r="D19" s="461" t="str">
        <f>VLOOKUP(C19,'Sales Master'!B$3:D$530,2,)</f>
        <v>Red Bean 红豆 (5.5 mm)</v>
      </c>
      <c r="E19" s="461"/>
      <c r="F19" s="461"/>
      <c r="G19" s="76">
        <v>2</v>
      </c>
      <c r="H19" s="186" t="str">
        <f>VLOOKUP(C19,'Sales Master'!$B$3:$F$2413,5,0)</f>
        <v>5 KG</v>
      </c>
      <c r="I19" s="497" t="str">
        <f>VLOOKUP(C19,'Sales Master'!$B$3:$E$2413,4,0)</f>
        <v>-</v>
      </c>
      <c r="J19" s="497"/>
      <c r="K19" s="184">
        <f>VLOOKUP(C19,'Sales Master'!B$3:R$2749,17,0)</f>
        <v>19</v>
      </c>
      <c r="L19" s="84">
        <f>K19*G19</f>
        <v>38</v>
      </c>
      <c r="M19" s="65"/>
      <c r="N19" s="93"/>
    </row>
    <row r="20" spans="2:17" ht="20.149999999999999" customHeight="1" x14ac:dyDescent="0.45">
      <c r="B20" s="58"/>
      <c r="C20" s="244" t="s">
        <v>849</v>
      </c>
      <c r="D20" s="461" t="str">
        <f>VLOOKUP(C20,'Sales Master'!B$3:D$530,2,)</f>
        <v>Green Bean 绿豆</v>
      </c>
      <c r="E20" s="461"/>
      <c r="F20" s="461"/>
      <c r="G20" s="76">
        <v>2</v>
      </c>
      <c r="H20" s="186" t="str">
        <f>VLOOKUP(C20,'Sales Master'!$B$3:$F$2413,5,0)</f>
        <v>5 KG</v>
      </c>
      <c r="I20" s="497" t="str">
        <f>VLOOKUP(C20,'Sales Master'!$B$3:$E$2413,4,0)</f>
        <v>-</v>
      </c>
      <c r="J20" s="497"/>
      <c r="K20" s="184">
        <f>VLOOKUP(C20,'Sales Master'!B$3:R$2749,17,0)</f>
        <v>13.5</v>
      </c>
      <c r="L20" s="84">
        <f>K20*G20</f>
        <v>27</v>
      </c>
      <c r="M20" s="65"/>
      <c r="N20" s="93"/>
    </row>
    <row r="21" spans="2:17" ht="20.149999999999999" customHeight="1" x14ac:dyDescent="0.45">
      <c r="B21" s="58"/>
      <c r="C21" s="244" t="s">
        <v>855</v>
      </c>
      <c r="D21" s="461" t="str">
        <f>VLOOKUP(C21,'Sales Master'!B$3:D$530,2,)</f>
        <v>Split Green Mung Bean 豆爽</v>
      </c>
      <c r="E21" s="461"/>
      <c r="F21" s="461"/>
      <c r="G21" s="76">
        <v>3</v>
      </c>
      <c r="H21" s="186" t="str">
        <f>VLOOKUP(C21,'Sales Master'!$B$3:$F$2413,5,0)</f>
        <v>5 KG</v>
      </c>
      <c r="I21" s="497" t="str">
        <f>VLOOKUP(C21,'Sales Master'!$B$3:$E$2413,4,0)</f>
        <v>-</v>
      </c>
      <c r="J21" s="497"/>
      <c r="K21" s="184">
        <f>VLOOKUP(C21,'Sales Master'!B$3:R$2749,17,0)</f>
        <v>18</v>
      </c>
      <c r="L21" s="84">
        <f>K21*G21</f>
        <v>54</v>
      </c>
      <c r="M21" s="65"/>
      <c r="N21" s="93"/>
    </row>
    <row r="22" spans="2:17" ht="20.149999999999999" customHeight="1" x14ac:dyDescent="0.45">
      <c r="B22" s="58"/>
      <c r="C22" s="244" t="s">
        <v>861</v>
      </c>
      <c r="D22" s="461" t="str">
        <f>VLOOKUP(C22,'Sales Master'!B$3:D$530,2,)</f>
        <v>Black Glutinous Rice 黑糯米</v>
      </c>
      <c r="E22" s="461"/>
      <c r="F22" s="461"/>
      <c r="G22" s="76">
        <v>2</v>
      </c>
      <c r="H22" s="186" t="str">
        <f>VLOOKUP(C22,'Sales Master'!$B$3:$F$2413,5,0)</f>
        <v>5 KGS</v>
      </c>
      <c r="I22" s="497" t="str">
        <f>VLOOKUP(C22,'Sales Master'!$B$3:$E$2413,4,0)</f>
        <v>-</v>
      </c>
      <c r="J22" s="497"/>
      <c r="K22" s="184">
        <f>VLOOKUP(C22,'Sales Master'!B$3:R$2749,17,0)</f>
        <v>18</v>
      </c>
      <c r="L22" s="84">
        <f>K22*G22</f>
        <v>36</v>
      </c>
      <c r="M22" s="65"/>
      <c r="N22" s="93"/>
    </row>
    <row r="23" spans="2:17" ht="20.149999999999999" customHeight="1" x14ac:dyDescent="0.45">
      <c r="B23" s="58"/>
      <c r="C23" s="212" t="s">
        <v>870</v>
      </c>
      <c r="D23" s="461" t="str">
        <f>VLOOKUP(C23,'Sales Master'!B$3:D$530,2,)</f>
        <v>Pearl Barley 薏米</v>
      </c>
      <c r="E23" s="461"/>
      <c r="F23" s="461"/>
      <c r="G23" s="76">
        <v>2</v>
      </c>
      <c r="H23" s="186" t="str">
        <f>VLOOKUP(C23,'Sales Master'!$B$3:$F$2413,5,0)</f>
        <v>5 KG</v>
      </c>
      <c r="I23" s="497" t="str">
        <f>VLOOKUP(C23,'Sales Master'!$B$3:$E$2413,4,0)</f>
        <v>-</v>
      </c>
      <c r="J23" s="497"/>
      <c r="K23" s="184">
        <f>VLOOKUP(C23,'Sales Master'!B$3:R$2749,17,0)</f>
        <v>11</v>
      </c>
      <c r="L23" s="84">
        <f>K23*G23</f>
        <v>22</v>
      </c>
      <c r="M23" s="65"/>
      <c r="N23" s="145"/>
      <c r="O23" s="145"/>
      <c r="P23" s="145"/>
      <c r="Q23" s="63"/>
    </row>
    <row r="24" spans="2:17" ht="20.149999999999999" customHeight="1" x14ac:dyDescent="0.45">
      <c r="B24" s="58"/>
      <c r="C24" s="244" t="s">
        <v>877</v>
      </c>
      <c r="D24" s="461" t="str">
        <f>VLOOKUP(C24,'Sales Master'!B$3:D$530,2,)</f>
        <v>Small Sago 小丸</v>
      </c>
      <c r="E24" s="461"/>
      <c r="F24" s="461"/>
      <c r="G24" s="76">
        <v>1</v>
      </c>
      <c r="H24" s="186" t="str">
        <f>VLOOKUP(C24,'Sales Master'!$B$3:$F$2413,5,0)</f>
        <v>5 KG</v>
      </c>
      <c r="I24" s="497" t="str">
        <f>VLOOKUP(C24,'Sales Master'!$B$3:$E$2413,4,0)</f>
        <v>-</v>
      </c>
      <c r="J24" s="497"/>
      <c r="K24" s="184">
        <f>VLOOKUP(C24,'Sales Master'!B$3:R$2749,17,0)</f>
        <v>11</v>
      </c>
      <c r="L24" s="84">
        <f t="shared" ref="L24" si="1">K24*G24</f>
        <v>11</v>
      </c>
      <c r="M24" s="65"/>
      <c r="N24" s="93"/>
    </row>
    <row r="25" spans="2:17" ht="20.149999999999999" customHeight="1" x14ac:dyDescent="0.45">
      <c r="B25" s="58"/>
      <c r="C25" s="244" t="s">
        <v>887</v>
      </c>
      <c r="D25" s="461" t="str">
        <f>VLOOKUP(C25,'Sales Master'!B$3:D$530,2,)</f>
        <v>Lotus Seed 莲子(无）</v>
      </c>
      <c r="E25" s="461"/>
      <c r="F25" s="461"/>
      <c r="G25" s="76">
        <v>5</v>
      </c>
      <c r="H25" s="186" t="str">
        <f>VLOOKUP(C25,'Sales Master'!$B$3:$F$2413,5,0)</f>
        <v>1 kg</v>
      </c>
      <c r="I25" s="497" t="str">
        <f>VLOOKUP(C25,'Sales Master'!$B$3:$E$2413,4,0)</f>
        <v>中</v>
      </c>
      <c r="J25" s="497"/>
      <c r="K25" s="184">
        <f>VLOOKUP(C25,'Sales Master'!B$3:R$2749,17,0)</f>
        <v>24</v>
      </c>
      <c r="L25" s="84">
        <f>K25*G25</f>
        <v>120</v>
      </c>
      <c r="M25" s="65"/>
      <c r="N25" s="93"/>
    </row>
    <row r="26" spans="2:17" ht="20.149999999999999" customHeight="1" x14ac:dyDescent="0.45">
      <c r="B26" s="58"/>
      <c r="C26" s="244" t="s">
        <v>900</v>
      </c>
      <c r="D26" s="461" t="str">
        <f>VLOOKUP(C26,'Sales Master'!B$3:D$530,2,)</f>
        <v>Bean Curd Sheet 腐竹</v>
      </c>
      <c r="E26" s="461"/>
      <c r="F26" s="461"/>
      <c r="G26" s="76">
        <v>10</v>
      </c>
      <c r="H26" s="186" t="str">
        <f>VLOOKUP(C26,'Sales Master'!$B$3:$F$2413,5,0)</f>
        <v xml:space="preserve">150g/pkt </v>
      </c>
      <c r="I26" s="497" t="str">
        <f>VLOOKUP(C26,'Sales Master'!$B$3:$E$2413,4,0)</f>
        <v>生记</v>
      </c>
      <c r="J26" s="497"/>
      <c r="K26" s="184">
        <f>VLOOKUP(C26,'Sales Master'!B$3:R$2749,17,0)</f>
        <v>3.1</v>
      </c>
      <c r="L26" s="84">
        <f>K26*G26</f>
        <v>31</v>
      </c>
      <c r="M26" s="65"/>
      <c r="N26" s="93"/>
    </row>
    <row r="27" spans="2:17" ht="20.149999999999999" customHeight="1" x14ac:dyDescent="0.45">
      <c r="B27" s="58"/>
      <c r="C27" s="244" t="s">
        <v>947</v>
      </c>
      <c r="D27" s="461" t="str">
        <f>VLOOKUP(C27,'Sales Master'!B$3:D$530,2,)</f>
        <v>Sea Coconut 海底椰</v>
      </c>
      <c r="E27" s="461"/>
      <c r="F27" s="461"/>
      <c r="G27" s="76">
        <v>2</v>
      </c>
      <c r="H27" s="186" t="str">
        <f>VLOOKUP(C27,'Sales Master'!$B$3:$F$2413,5,0)</f>
        <v>1 Can X A10</v>
      </c>
      <c r="I27" s="497" t="str">
        <f>VLOOKUP(C27,'Sales Master'!$B$3:$E$2413,4,0)</f>
        <v>Chefs</v>
      </c>
      <c r="J27" s="497"/>
      <c r="K27" s="184">
        <f>VLOOKUP(C27,'Sales Master'!B$3:R$2749,17,0)</f>
        <v>20</v>
      </c>
      <c r="L27" s="84">
        <f t="shared" ref="L27" si="2">K27*G27</f>
        <v>40</v>
      </c>
      <c r="M27" s="65"/>
      <c r="N27" s="93"/>
    </row>
    <row r="28" spans="2:17" ht="20.149999999999999" customHeight="1" x14ac:dyDescent="0.45">
      <c r="B28" s="58"/>
      <c r="C28" s="244" t="s">
        <v>969</v>
      </c>
      <c r="D28" s="461" t="str">
        <f>VLOOKUP(C28,'Sales Master'!B$3:D$530,2,)</f>
        <v>Canned Red Bean 罐头红豆</v>
      </c>
      <c r="E28" s="461"/>
      <c r="F28" s="461"/>
      <c r="G28" s="76">
        <v>6</v>
      </c>
      <c r="H28" s="186" t="str">
        <f>VLOOKUP(C28,'Sales Master'!$B$3:$F$2413,5,0)</f>
        <v xml:space="preserve">3.3 KG/ Can </v>
      </c>
      <c r="I28" s="497" t="str">
        <f>VLOOKUP(C28,'Sales Master'!$B$3:$E$2413,4,0)</f>
        <v>Joy</v>
      </c>
      <c r="J28" s="497"/>
      <c r="K28" s="184">
        <f>VLOOKUP(C28,'Sales Master'!B$3:R$2749,17,0)</f>
        <v>10.5</v>
      </c>
      <c r="L28" s="84">
        <f>K28*G28</f>
        <v>63</v>
      </c>
      <c r="M28" s="65"/>
      <c r="N28" s="212"/>
    </row>
    <row r="29" spans="2:17" ht="20.149999999999999" customHeight="1" x14ac:dyDescent="0.45">
      <c r="B29" s="58"/>
      <c r="C29" s="244" t="s">
        <v>980</v>
      </c>
      <c r="D29" s="461" t="str">
        <f>VLOOKUP(C29,'Sales Master'!B$3:D$530,2,)</f>
        <v>GingKo Nut 白果罐</v>
      </c>
      <c r="E29" s="461"/>
      <c r="F29" s="461"/>
      <c r="G29" s="76">
        <v>2</v>
      </c>
      <c r="H29" s="186" t="str">
        <f>VLOOKUP(C29,'Sales Master'!$B$3:$F$2413,5,0)</f>
        <v>397 GM x 24/ Ctn箱</v>
      </c>
      <c r="I29" s="497" t="str">
        <f>VLOOKUP(C29,'Sales Master'!$B$3:$E$2413,4,0)</f>
        <v>MiLi</v>
      </c>
      <c r="J29" s="497"/>
      <c r="K29" s="184">
        <f>VLOOKUP(C29,'Sales Master'!B$3:R$2749,17,0)</f>
        <v>30</v>
      </c>
      <c r="L29" s="84">
        <f>K29*G29</f>
        <v>60</v>
      </c>
      <c r="M29" s="65"/>
      <c r="N29" s="93"/>
    </row>
    <row r="30" spans="2:17" ht="20.149999999999999" customHeight="1" x14ac:dyDescent="0.45">
      <c r="B30" s="58"/>
      <c r="C30" s="244" t="s">
        <v>1009</v>
      </c>
      <c r="D30" s="461" t="str">
        <f>VLOOKUP(C30,'Sales Master'!B$3:D$530,2,)</f>
        <v>Rock Sugar 冰糖</v>
      </c>
      <c r="E30" s="461"/>
      <c r="F30" s="461"/>
      <c r="G30" s="76">
        <v>2</v>
      </c>
      <c r="H30" s="186" t="str">
        <f>VLOOKUP(C30,'Sales Master'!$B$3:$F$2413,5,0)</f>
        <v>3 KG</v>
      </c>
      <c r="I30" s="497" t="str">
        <f>VLOOKUP(C30,'Sales Master'!$B$3:$E$2413,4,0)</f>
        <v>Star</v>
      </c>
      <c r="J30" s="497"/>
      <c r="K30" s="184">
        <f>VLOOKUP(C30,'Sales Master'!B$3:R$2749,17,0)</f>
        <v>7</v>
      </c>
      <c r="L30" s="84">
        <f>K30*G30</f>
        <v>14</v>
      </c>
      <c r="M30" s="65"/>
      <c r="N30" s="93"/>
    </row>
    <row r="31" spans="2:17" ht="20.149999999999999" customHeight="1" x14ac:dyDescent="0.45">
      <c r="B31" s="58"/>
      <c r="C31" s="244" t="s">
        <v>1011</v>
      </c>
      <c r="D31" s="461" t="str">
        <f>VLOOKUP(C31,'Sales Master'!B$3:D$530,2,)</f>
        <v>Brown Sugar 黑糖</v>
      </c>
      <c r="E31" s="461"/>
      <c r="F31" s="461"/>
      <c r="G31" s="76">
        <v>1</v>
      </c>
      <c r="H31" s="186" t="str">
        <f>VLOOKUP(C31,'Sales Master'!$B$3:$F$2413,5,0)</f>
        <v>6 KG</v>
      </c>
      <c r="I31" s="497" t="str">
        <f>VLOOKUP(C31,'Sales Master'!$B$3:$E$2413,4,0)</f>
        <v>Star</v>
      </c>
      <c r="J31" s="497"/>
      <c r="K31" s="184">
        <f>VLOOKUP(C31,'Sales Master'!B$3:R$2749,17,0)</f>
        <v>17</v>
      </c>
      <c r="L31" s="84">
        <f t="shared" ref="L31:L34" si="3">K31*G31</f>
        <v>17</v>
      </c>
      <c r="M31" s="65"/>
      <c r="N31" s="93"/>
    </row>
    <row r="32" spans="2:17" ht="20.149999999999999" customHeight="1" x14ac:dyDescent="0.45">
      <c r="B32" s="58"/>
      <c r="C32" s="244" t="s">
        <v>1014</v>
      </c>
      <c r="D32" s="461" t="str">
        <f>VLOOKUP(C32,'Sales Master'!B$3:D$530,2,)</f>
        <v>Fine Sugar 白糖</v>
      </c>
      <c r="E32" s="461"/>
      <c r="F32" s="461"/>
      <c r="G32" s="76">
        <v>3</v>
      </c>
      <c r="H32" s="186" t="str">
        <f>VLOOKUP(C32,'Sales Master'!$B$3:$F$2413,5,0)</f>
        <v>25 KGS</v>
      </c>
      <c r="I32" s="497" t="str">
        <f>VLOOKUP(C32,'Sales Master'!$B$3:$E$2413,4,0)</f>
        <v>MITR PHOL/ 蜜朋</v>
      </c>
      <c r="J32" s="497"/>
      <c r="K32" s="184">
        <f>VLOOKUP(C32,'Sales Master'!B$3:R$2749,17,0)</f>
        <v>31.5</v>
      </c>
      <c r="L32" s="84">
        <f t="shared" si="3"/>
        <v>94.5</v>
      </c>
      <c r="M32" s="65"/>
      <c r="N32" s="93"/>
    </row>
    <row r="33" spans="2:17" ht="20.149999999999999" customHeight="1" x14ac:dyDescent="0.45">
      <c r="B33" s="58"/>
      <c r="C33" s="244" t="s">
        <v>1041</v>
      </c>
      <c r="D33" s="461" t="str">
        <f>VLOOKUP(C33,'Sales Master'!B$3:D$530,2,)</f>
        <v>Food Coloring - Liquid 颜色水</v>
      </c>
      <c r="E33" s="461"/>
      <c r="F33" s="461"/>
      <c r="G33" s="76">
        <v>4</v>
      </c>
      <c r="H33" s="186" t="str">
        <f>VLOOKUP(C33,'Sales Master'!$B$3:$F$2413,5,0)</f>
        <v>500 ML/ Btl支</v>
      </c>
      <c r="I33" s="497" t="str">
        <f>VLOOKUP(C33,'Sales Master'!$B$3:$E$2413,4,0)</f>
        <v>Red/红</v>
      </c>
      <c r="J33" s="497"/>
      <c r="K33" s="184">
        <f>VLOOKUP(C33,'Sales Master'!B$3:R$2749,17,0)</f>
        <v>2.5</v>
      </c>
      <c r="L33" s="84">
        <f t="shared" si="3"/>
        <v>10</v>
      </c>
      <c r="M33" s="65"/>
      <c r="N33" s="93"/>
    </row>
    <row r="34" spans="2:17" ht="20.149999999999999" customHeight="1" x14ac:dyDescent="0.45">
      <c r="B34" s="58"/>
      <c r="C34" s="244" t="s">
        <v>1042</v>
      </c>
      <c r="D34" s="461" t="str">
        <f>VLOOKUP(C34,'Sales Master'!B$3:D$530,2,)</f>
        <v>Food Coloring - Liquid 颜色水</v>
      </c>
      <c r="E34" s="461"/>
      <c r="F34" s="461"/>
      <c r="G34" s="76">
        <v>2</v>
      </c>
      <c r="H34" s="186" t="str">
        <f>VLOOKUP(C34,'Sales Master'!$B$3:$F$2413,5,0)</f>
        <v>500 ML/ Btl支</v>
      </c>
      <c r="I34" s="497" t="str">
        <f>VLOOKUP(C34,'Sales Master'!$B$3:$E$2413,4,0)</f>
        <v>Green/青</v>
      </c>
      <c r="J34" s="497"/>
      <c r="K34" s="184">
        <f>VLOOKUP(C34,'Sales Master'!B$3:R$2749,17,0)</f>
        <v>2.5</v>
      </c>
      <c r="L34" s="84">
        <f t="shared" si="3"/>
        <v>5</v>
      </c>
      <c r="M34" s="65"/>
      <c r="N34" s="93"/>
    </row>
    <row r="35" spans="2:17" ht="20.149999999999999" customHeight="1" x14ac:dyDescent="0.45">
      <c r="B35" s="58"/>
      <c r="C35" s="244"/>
      <c r="D35" s="461"/>
      <c r="E35" s="461"/>
      <c r="F35" s="461"/>
      <c r="G35" s="76"/>
      <c r="H35" s="186"/>
      <c r="I35" s="497"/>
      <c r="J35" s="497"/>
      <c r="K35" s="184"/>
      <c r="L35" s="84"/>
      <c r="M35" s="65"/>
      <c r="N35" s="93"/>
    </row>
    <row r="36" spans="2:17" ht="20.149999999999999" customHeight="1" x14ac:dyDescent="0.45">
      <c r="B36" s="58"/>
      <c r="C36" s="244"/>
      <c r="G36" s="76"/>
      <c r="H36" s="186"/>
      <c r="I36" s="208"/>
      <c r="J36" s="208"/>
      <c r="K36" s="184"/>
      <c r="L36" s="84"/>
      <c r="M36" s="65"/>
      <c r="N36" s="93"/>
    </row>
    <row r="37" spans="2:17" ht="20.149999999999999" customHeight="1" x14ac:dyDescent="0.45">
      <c r="B37" s="58"/>
      <c r="C37" s="149" t="s">
        <v>2268</v>
      </c>
      <c r="D37" s="403"/>
      <c r="E37" s="403"/>
      <c r="F37" s="403"/>
      <c r="G37" s="76"/>
      <c r="H37" s="186"/>
      <c r="I37" s="497"/>
      <c r="J37" s="497"/>
      <c r="K37" s="190"/>
      <c r="L37" s="84"/>
      <c r="M37" s="65"/>
      <c r="N37" s="93"/>
    </row>
    <row r="38" spans="2:17" ht="20.149999999999999" customHeight="1" x14ac:dyDescent="0.45">
      <c r="B38" s="58"/>
      <c r="C38" s="212" t="s">
        <v>801</v>
      </c>
      <c r="D38" s="461" t="str">
        <f>VLOOKUP(C38,'Sales Master'!B$3:D$530,2,)</f>
        <v>Sweet Potato Powder 番薯粉</v>
      </c>
      <c r="E38" s="461"/>
      <c r="F38" s="461"/>
      <c r="G38" s="17">
        <v>1</v>
      </c>
      <c r="H38" s="186" t="str">
        <f>VLOOKUP(C38,'[3]Sales Master'!B$3:F$955,5,0)</f>
        <v>500gm x 20包</v>
      </c>
      <c r="I38" s="497" t="str">
        <f>VLOOKUP(C38,'[3]Sales Master'!B$3:E$955,4,0)</f>
        <v>RE-PACK</v>
      </c>
      <c r="J38" s="497"/>
      <c r="K38" s="190">
        <v>34</v>
      </c>
      <c r="L38" s="84"/>
      <c r="M38" s="65"/>
      <c r="N38" s="93"/>
    </row>
    <row r="39" spans="2:17" ht="20.149999999999999" customHeight="1" x14ac:dyDescent="0.45">
      <c r="B39" s="58"/>
      <c r="C39" s="212" t="s">
        <v>870</v>
      </c>
      <c r="D39" s="501" t="str">
        <f>VLOOKUP(C39,'[3]Sales Master'!B$3:D$663,2,0)</f>
        <v>Pearl Barley 薏米</v>
      </c>
      <c r="E39" s="501"/>
      <c r="F39" s="501"/>
      <c r="G39" s="17">
        <v>1</v>
      </c>
      <c r="H39" s="186" t="str">
        <f>VLOOKUP(C39,'[3]Sales Master'!B$3:F$955,5,0)</f>
        <v>5 kgs</v>
      </c>
      <c r="I39" s="497" t="str">
        <f>VLOOKUP(C39,'[3]Sales Master'!B$3:E$955,4,0)</f>
        <v>-</v>
      </c>
      <c r="J39" s="497"/>
      <c r="K39" s="190">
        <v>11</v>
      </c>
      <c r="L39" s="84"/>
      <c r="M39" s="65"/>
      <c r="N39" s="93"/>
    </row>
    <row r="40" spans="2:17" ht="20.149999999999999" customHeight="1" x14ac:dyDescent="0.45">
      <c r="B40" s="58"/>
      <c r="C40" s="212" t="s">
        <v>947</v>
      </c>
      <c r="D40" s="501" t="str">
        <f>VLOOKUP(C40,'[3]Sales Master'!B$3:D$663,2,0)</f>
        <v>Sea Coconut 海底椰</v>
      </c>
      <c r="E40" s="501"/>
      <c r="F40" s="501"/>
      <c r="G40" s="17">
        <v>1</v>
      </c>
      <c r="H40" s="186" t="str">
        <f>VLOOKUP(C40,'[3]Sales Master'!B$3:F$955,5,0)</f>
        <v>1 Can X A10</v>
      </c>
      <c r="I40" s="497" t="str">
        <f>VLOOKUP(C40,'[3]Sales Master'!B$3:E$955,4,0)</f>
        <v>Chefs</v>
      </c>
      <c r="J40" s="497"/>
      <c r="K40" s="190">
        <v>20</v>
      </c>
      <c r="L40" s="84"/>
      <c r="M40" s="65"/>
      <c r="N40" s="145"/>
      <c r="O40" s="145"/>
      <c r="P40" s="145"/>
      <c r="Q40" s="63"/>
    </row>
    <row r="41" spans="2:17" ht="20.149999999999999" customHeight="1" thickBot="1" x14ac:dyDescent="0.5">
      <c r="B41" s="47"/>
      <c r="C41" s="33"/>
      <c r="D41" s="48"/>
      <c r="E41" s="48"/>
      <c r="F41" s="48"/>
      <c r="G41" s="48"/>
      <c r="H41" s="48"/>
      <c r="I41" s="48"/>
      <c r="J41" s="48"/>
      <c r="K41" s="48"/>
      <c r="L41" s="49"/>
    </row>
    <row r="42" spans="2:17" ht="20.149999999999999" customHeight="1" x14ac:dyDescent="0.45">
      <c r="B42" s="10" t="s">
        <v>16</v>
      </c>
      <c r="C42" s="229"/>
      <c r="D42" s="6"/>
      <c r="E42" s="6"/>
      <c r="F42" s="6"/>
      <c r="G42" s="6"/>
      <c r="H42" s="6"/>
      <c r="I42" s="6"/>
      <c r="J42" s="455" t="s">
        <v>13</v>
      </c>
      <c r="K42" s="456"/>
      <c r="L42" s="38">
        <f>SUM(L18:L41)</f>
        <v>651.5</v>
      </c>
      <c r="M42" s="63">
        <f>SUM(P18:P41)</f>
        <v>0</v>
      </c>
      <c r="N42" s="133">
        <f>M42/L42</f>
        <v>0</v>
      </c>
    </row>
    <row r="43" spans="2:17" ht="20.149999999999999" customHeight="1" x14ac:dyDescent="0.45">
      <c r="B43" s="10" t="s">
        <v>17</v>
      </c>
      <c r="C43" s="229"/>
      <c r="D43" s="6"/>
      <c r="E43" s="6"/>
      <c r="F43" s="6"/>
      <c r="G43" s="6"/>
      <c r="H43" s="6"/>
      <c r="I43" s="6"/>
      <c r="J43" s="39" t="s">
        <v>20</v>
      </c>
      <c r="K43" s="40"/>
      <c r="L43" s="41">
        <v>0</v>
      </c>
    </row>
    <row r="44" spans="2:17" ht="20.149999999999999" customHeight="1" x14ac:dyDescent="0.45">
      <c r="B44" s="10" t="s">
        <v>18</v>
      </c>
      <c r="C44" s="229"/>
      <c r="D44" s="6"/>
      <c r="E44" s="6"/>
      <c r="F44" s="6"/>
      <c r="G44" s="6"/>
      <c r="H44" s="6"/>
      <c r="I44" s="6"/>
      <c r="J44" s="457" t="s">
        <v>19</v>
      </c>
      <c r="K44" s="458"/>
      <c r="L44" s="41">
        <f>L42-L43</f>
        <v>651.5</v>
      </c>
    </row>
    <row r="45" spans="2:17" ht="20.149999999999999" customHeight="1" x14ac:dyDescent="0.45">
      <c r="B45" s="10" t="s">
        <v>22</v>
      </c>
      <c r="C45" s="229"/>
      <c r="D45" s="6"/>
      <c r="E45" s="6"/>
      <c r="F45" s="6"/>
      <c r="G45" s="6"/>
      <c r="H45" s="6"/>
      <c r="I45" s="6"/>
      <c r="J45" s="102" t="s">
        <v>15</v>
      </c>
      <c r="K45" s="103">
        <f>'Sales Master'!$B$1</f>
        <v>0.09</v>
      </c>
      <c r="L45" s="42">
        <f>L44*K45</f>
        <v>58.634999999999998</v>
      </c>
    </row>
    <row r="46" spans="2:17" ht="20.149999999999999" customHeight="1" thickBot="1" x14ac:dyDescent="0.5">
      <c r="B46" s="10" t="s">
        <v>700</v>
      </c>
      <c r="C46" s="229"/>
      <c r="D46" s="6"/>
      <c r="E46" s="6"/>
      <c r="F46" s="6"/>
      <c r="G46" s="6"/>
      <c r="H46" s="6"/>
      <c r="I46" s="6"/>
      <c r="J46" s="459" t="s">
        <v>21</v>
      </c>
      <c r="K46" s="460"/>
      <c r="L46" s="43">
        <f>L44+L45</f>
        <v>710.13499999999999</v>
      </c>
    </row>
    <row r="47" spans="2:17" ht="20.149999999999999" customHeight="1" x14ac:dyDescent="0.45">
      <c r="B47" s="10" t="s">
        <v>24</v>
      </c>
      <c r="C47" s="229"/>
      <c r="D47" s="6"/>
      <c r="E47" s="6"/>
      <c r="F47" s="6"/>
      <c r="G47" s="6"/>
      <c r="H47" s="6"/>
      <c r="I47" s="6"/>
      <c r="L47" s="37"/>
    </row>
    <row r="48" spans="2:17" ht="20.149999999999999" customHeight="1" x14ac:dyDescent="0.45">
      <c r="B48" s="144" t="s">
        <v>690</v>
      </c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44"/>
      <c r="C52" s="105"/>
      <c r="D52" s="45"/>
      <c r="J52" s="45"/>
      <c r="K52" s="45"/>
      <c r="L52" s="46"/>
    </row>
    <row r="53" spans="2:12" ht="20.149999999999999" customHeight="1" x14ac:dyDescent="0.45">
      <c r="B53" s="36" t="s">
        <v>25</v>
      </c>
      <c r="J53" s="19" t="s">
        <v>26</v>
      </c>
      <c r="L53" s="37"/>
    </row>
    <row r="54" spans="2:12" ht="19" thickBot="1" x14ac:dyDescent="0.5">
      <c r="B54" s="47"/>
      <c r="C54" s="33"/>
      <c r="D54" s="48"/>
      <c r="E54" s="48"/>
      <c r="F54" s="48"/>
      <c r="G54" s="48"/>
      <c r="H54" s="48"/>
      <c r="I54" s="48"/>
      <c r="J54" s="48"/>
      <c r="K54" s="48"/>
      <c r="L54" s="49"/>
    </row>
    <row r="55" spans="2:12" ht="20.5" x14ac:dyDescent="0.45">
      <c r="F55" s="202"/>
    </row>
    <row r="56" spans="2:12" x14ac:dyDescent="0.45">
      <c r="B56" s="93" t="s">
        <v>1291</v>
      </c>
      <c r="C56" s="17" t="s">
        <v>758</v>
      </c>
      <c r="D56" s="461" t="str">
        <f>VLOOKUP(C56,'Sales Master'!B$3:D$530,2,)</f>
        <v>Q Ball Q圆</v>
      </c>
      <c r="E56" s="461"/>
      <c r="F56" s="461"/>
      <c r="G56" s="19">
        <v>1</v>
      </c>
      <c r="H56" s="186" t="str">
        <f>VLOOKUP(C56,'Sales Master'!$B$3:$F$2413,5,0)</f>
        <v>1 KG/ Bag包</v>
      </c>
      <c r="I56" s="516" t="str">
        <f>VLOOKUP(C56,'Sales Master'!$B$3:$E$2413,4,0)</f>
        <v>FJ</v>
      </c>
      <c r="J56" s="516"/>
      <c r="K56" s="184">
        <f>VLOOKUP(C56,'Sales Master'!B$3:R$2749,17,0)</f>
        <v>6</v>
      </c>
    </row>
    <row r="57" spans="2:12" x14ac:dyDescent="0.45">
      <c r="B57" s="93" t="s">
        <v>1290</v>
      </c>
      <c r="C57" s="17" t="s">
        <v>810</v>
      </c>
      <c r="D57" s="461" t="str">
        <f>VLOOKUP(C57,'Sales Master'!B$3:D$530,2,)</f>
        <v>Tapioca Flour 茨粉</v>
      </c>
      <c r="E57" s="461"/>
      <c r="F57" s="461"/>
      <c r="G57" s="19">
        <v>1</v>
      </c>
      <c r="H57" s="186" t="str">
        <f>VLOOKUP(C57,'Sales Master'!$B$3:$F$2413,5,0)</f>
        <v xml:space="preserve">500 GM/pkt </v>
      </c>
      <c r="I57" s="516" t="str">
        <f>VLOOKUP(C57,'Sales Master'!$B$3:$E$2413,4,0)</f>
        <v>F/man 飞人</v>
      </c>
      <c r="J57" s="516"/>
      <c r="K57" s="184">
        <f>VLOOKUP(C57,'Sales Master'!B$3:R$2749,17,0)</f>
        <v>0.9</v>
      </c>
      <c r="L57" s="83"/>
    </row>
    <row r="58" spans="2:12" x14ac:dyDescent="0.45">
      <c r="B58" s="93" t="s">
        <v>1298</v>
      </c>
      <c r="C58" s="17" t="s">
        <v>756</v>
      </c>
      <c r="D58" s="461" t="str">
        <f>VLOOKUP(C58,'Sales Master'!B$3:D$530,2,)</f>
        <v>3Q Konjac Jelly</v>
      </c>
      <c r="E58" s="461"/>
      <c r="F58" s="461"/>
      <c r="G58" s="19">
        <v>1</v>
      </c>
      <c r="H58" s="186" t="str">
        <f>VLOOKUP(C58,'Sales Master'!$B$3:$F$2413,5,0)</f>
        <v>4 KG/ Tub桶</v>
      </c>
      <c r="I58" s="516" t="str">
        <f>VLOOKUP(C58,'Sales Master'!$B$3:$E$2413,4,0)</f>
        <v>T1</v>
      </c>
      <c r="J58" s="516"/>
      <c r="K58" s="184">
        <f>VLOOKUP(C58,'Sales Master'!B$3:R$2749,17,0)</f>
        <v>15</v>
      </c>
    </row>
  </sheetData>
  <mergeCells count="70"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6:K46"/>
    <mergeCell ref="J44:K44"/>
    <mergeCell ref="J42:K42"/>
    <mergeCell ref="I35:J35"/>
    <mergeCell ref="D40:F40"/>
    <mergeCell ref="I40:J40"/>
    <mergeCell ref="I37:J37"/>
    <mergeCell ref="D38:F38"/>
    <mergeCell ref="I38:J38"/>
    <mergeCell ref="D39:F39"/>
    <mergeCell ref="I39:J39"/>
    <mergeCell ref="D35:F35"/>
    <mergeCell ref="D34:F34"/>
    <mergeCell ref="D33:F33"/>
    <mergeCell ref="I34:J34"/>
    <mergeCell ref="I33:J33"/>
    <mergeCell ref="I22:J22"/>
    <mergeCell ref="D23:F23"/>
    <mergeCell ref="I23:J23"/>
    <mergeCell ref="D22:F22"/>
    <mergeCell ref="I24:J24"/>
    <mergeCell ref="D32:F32"/>
    <mergeCell ref="D29:F29"/>
    <mergeCell ref="I31:J31"/>
    <mergeCell ref="D26:F26"/>
    <mergeCell ref="D28:F28"/>
    <mergeCell ref="I28:J28"/>
    <mergeCell ref="I32:J32"/>
    <mergeCell ref="D58:F58"/>
    <mergeCell ref="I58:J58"/>
    <mergeCell ref="D57:F57"/>
    <mergeCell ref="I57:J57"/>
    <mergeCell ref="D56:F56"/>
    <mergeCell ref="I56:J56"/>
    <mergeCell ref="D31:F31"/>
    <mergeCell ref="I26:J26"/>
    <mergeCell ref="O12:Q12"/>
    <mergeCell ref="O13:Q13"/>
    <mergeCell ref="O14:Q14"/>
    <mergeCell ref="I18:J18"/>
    <mergeCell ref="I17:J17"/>
    <mergeCell ref="O18:Q18"/>
    <mergeCell ref="D18:F18"/>
    <mergeCell ref="I25:J25"/>
    <mergeCell ref="D25:F25"/>
    <mergeCell ref="I30:J30"/>
    <mergeCell ref="D30:F30"/>
    <mergeCell ref="I19:J19"/>
    <mergeCell ref="I20:J20"/>
    <mergeCell ref="D19:F19"/>
    <mergeCell ref="D20:F20"/>
    <mergeCell ref="I21:J21"/>
    <mergeCell ref="D21:F21"/>
    <mergeCell ref="I29:J29"/>
    <mergeCell ref="D24:F24"/>
    <mergeCell ref="D27:F27"/>
    <mergeCell ref="I27:J27"/>
  </mergeCells>
  <conditionalFormatting sqref="C24:C36 C19:C22">
    <cfRule type="duplicateValues" dxfId="158" priority="2733"/>
  </conditionalFormatting>
  <conditionalFormatting sqref="C37">
    <cfRule type="duplicateValues" dxfId="157" priority="1"/>
  </conditionalFormatting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8062-EDCE-4D2F-B609-954DD91975B2}">
  <sheetPr>
    <tabColor rgb="FF7030A0"/>
    <pageSetUpPr fitToPage="1"/>
  </sheetPr>
  <dimension ref="B1:P48"/>
  <sheetViews>
    <sheetView topLeftCell="A20" workbookViewId="0">
      <selection activeCell="C28" sqref="C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444</v>
      </c>
      <c r="J10" s="24" t="s">
        <v>27</v>
      </c>
      <c r="K10" s="493">
        <v>202410197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DESSERT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95">
        <v>45573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722</v>
      </c>
      <c r="D18" s="500" t="str">
        <f>VLOOKUP(C18,'Sales Master'!B$3:D$530,2,)</f>
        <v xml:space="preserve">Fresh Soursop 红毛榴莲 </v>
      </c>
      <c r="E18" s="500"/>
      <c r="F18" s="500"/>
      <c r="G18" s="17">
        <v>1</v>
      </c>
      <c r="H18" s="186" t="str">
        <f>VLOOKUP(C18,'Sales Master'!$B$3:$F$2413,5,0)</f>
        <v>GW:5 KG/ Tub桶</v>
      </c>
      <c r="I18" s="497" t="str">
        <f>VLOOKUP(C18,'Sales Master'!$B$3:$E$2413,4,0)</f>
        <v>DO!</v>
      </c>
      <c r="J18" s="497"/>
      <c r="K18" s="30">
        <f>VLOOKUP(C18,'Sales Master'!$B$3:$CM$530,90,0)</f>
        <v>31</v>
      </c>
      <c r="L18" s="64">
        <f>K18*G18</f>
        <v>31</v>
      </c>
      <c r="N18" s="145">
        <f>VLOOKUP(C18,'Sales Master'!$B$3:$DA$2272,104,0)</f>
        <v>25.63</v>
      </c>
      <c r="O18" s="145">
        <f>K18-N18</f>
        <v>5.370000000000001</v>
      </c>
      <c r="P18" s="145">
        <f>O18*G18</f>
        <v>5.370000000000001</v>
      </c>
    </row>
    <row r="19" spans="2:16" ht="20.149999999999999" customHeight="1" x14ac:dyDescent="0.45">
      <c r="B19" s="29"/>
      <c r="C19" s="212" t="s">
        <v>831</v>
      </c>
      <c r="D19" s="501" t="str">
        <f>VLOOKUP(C19,'Sales Master'!B$3:D$530,2,)</f>
        <v>Chin Chow  仙草</v>
      </c>
      <c r="E19" s="501"/>
      <c r="F19" s="501"/>
      <c r="G19" s="17">
        <v>4</v>
      </c>
      <c r="H19" s="186" t="str">
        <f>VLOOKUP(C19,'Sales Master'!$B$3:$F$2413,5,0)</f>
        <v>4 KG/ Pkt包</v>
      </c>
      <c r="I19" s="497" t="str">
        <f>VLOOKUP(C19,'Sales Master'!$B$3:$E$2413,4,0)</f>
        <v>TSM</v>
      </c>
      <c r="J19" s="497"/>
      <c r="K19" s="30">
        <f>VLOOKUP(C19,'Sales Master'!$B$3:$CM$530,90,0)</f>
        <v>6</v>
      </c>
      <c r="L19" s="64">
        <f>K19*G19</f>
        <v>24</v>
      </c>
      <c r="N19" s="145"/>
      <c r="O19" s="145"/>
      <c r="P19" s="145"/>
    </row>
    <row r="20" spans="2:16" ht="20.149999999999999" customHeight="1" x14ac:dyDescent="0.45">
      <c r="B20" s="29"/>
      <c r="C20" s="212" t="s">
        <v>737</v>
      </c>
      <c r="D20" s="501" t="str">
        <f>VLOOKUP(C20,'Sales Master'!B$3:D$530,2,)</f>
        <v>Chendol 浆咯</v>
      </c>
      <c r="E20" s="501"/>
      <c r="F20" s="501"/>
      <c r="G20" s="17">
        <v>4</v>
      </c>
      <c r="H20" s="186" t="str">
        <f>VLOOKUP(C20,'Sales Master'!$B$3:$F$2413,5,0)</f>
        <v>NW(2.2:0.8) 3kg/ Bag包</v>
      </c>
      <c r="I20" s="497" t="str">
        <f>VLOOKUP(C20,'Sales Master'!$B$3:$E$2413,4,0)</f>
        <v>DO!</v>
      </c>
      <c r="J20" s="497"/>
      <c r="K20" s="30">
        <f>VLOOKUP(C20,'Sales Master'!$B$3:$CM$530,90,0)</f>
        <v>6.5</v>
      </c>
      <c r="L20" s="64">
        <f>K20*G20</f>
        <v>26</v>
      </c>
      <c r="N20" s="145"/>
      <c r="O20" s="145"/>
      <c r="P20" s="145"/>
    </row>
    <row r="21" spans="2:16" ht="20.149999999999999" customHeight="1" x14ac:dyDescent="0.45">
      <c r="B21" s="29"/>
      <c r="C21" s="212" t="s">
        <v>904</v>
      </c>
      <c r="D21" s="501" t="str">
        <f>VLOOKUP(C21,'Sales Master'!B$3:D$530,2,)</f>
        <v>Wolfberry 枸杞子</v>
      </c>
      <c r="E21" s="501"/>
      <c r="F21" s="501"/>
      <c r="G21" s="17">
        <v>1</v>
      </c>
      <c r="H21" s="186" t="str">
        <f>VLOOKUP(C21,'Sales Master'!$B$3:$F$2413,5,0)</f>
        <v>500 GM X 2 PKT</v>
      </c>
      <c r="I21" s="497" t="str">
        <f>VLOOKUP(C21,'Sales Master'!$B$3:$E$2413,4,0)</f>
        <v>-</v>
      </c>
      <c r="J21" s="497"/>
      <c r="K21" s="30">
        <f>VLOOKUP(C21,'Sales Master'!$B$3:$CM$530,90,0)</f>
        <v>16</v>
      </c>
      <c r="L21" s="64">
        <f t="shared" ref="L21:L23" si="0">K21*G21</f>
        <v>16</v>
      </c>
      <c r="N21" s="145"/>
      <c r="O21" s="145"/>
      <c r="P21" s="145"/>
    </row>
    <row r="22" spans="2:16" ht="20.149999999999999" customHeight="1" x14ac:dyDescent="0.45">
      <c r="B22" s="29"/>
      <c r="C22" s="212" t="s">
        <v>880</v>
      </c>
      <c r="D22" s="501" t="str">
        <f>VLOOKUP(C22,'Sales Master'!B$3:D$530,2,)</f>
        <v>Dried Longan 龙眼干</v>
      </c>
      <c r="E22" s="501"/>
      <c r="F22" s="501"/>
      <c r="G22" s="17">
        <v>1</v>
      </c>
      <c r="H22" s="186" t="str">
        <f>VLOOKUP(C22,'Sales Master'!$B$3:$F$2413,5,0)</f>
        <v>1 kg</v>
      </c>
      <c r="I22" s="497" t="str">
        <f>VLOOKUP(C22,'Sales Master'!$B$3:$E$2413,4,0)</f>
        <v>TL</v>
      </c>
      <c r="J22" s="497"/>
      <c r="K22" s="30">
        <f>VLOOKUP(C22,'Sales Master'!$B$3:$CM$530,90,0)</f>
        <v>12</v>
      </c>
      <c r="L22" s="64">
        <f t="shared" si="0"/>
        <v>12</v>
      </c>
      <c r="N22" s="145"/>
      <c r="O22" s="145"/>
      <c r="P22" s="145"/>
    </row>
    <row r="23" spans="2:16" ht="20.149999999999999" customHeight="1" x14ac:dyDescent="0.45">
      <c r="B23" s="29"/>
      <c r="C23" s="212" t="s">
        <v>1179</v>
      </c>
      <c r="D23" s="501" t="str">
        <f>VLOOKUP(C23,'Sales Master'!B$3:D$530,2,)</f>
        <v>Fruit Cocktail 杂果</v>
      </c>
      <c r="E23" s="501"/>
      <c r="F23" s="501"/>
      <c r="G23" s="17">
        <v>1</v>
      </c>
      <c r="H23" s="186" t="str">
        <f>VLOOKUP(C23,'Sales Master'!$B$3:$F$2413,5,0)</f>
        <v>(836gm x 12)/ Ctn箱</v>
      </c>
      <c r="I23" s="497" t="str">
        <f>VLOOKUP(C23,'Sales Master'!$B$3:$E$2413,4,0)</f>
        <v>Hosen</v>
      </c>
      <c r="J23" s="497"/>
      <c r="K23" s="30">
        <f>VLOOKUP(C23,'Sales Master'!$B$3:$CM$530,90,0)</f>
        <v>25</v>
      </c>
      <c r="L23" s="64">
        <f t="shared" si="0"/>
        <v>25</v>
      </c>
      <c r="N23" s="145"/>
      <c r="O23" s="145"/>
      <c r="P23" s="145"/>
    </row>
    <row r="24" spans="2:16" ht="20.149999999999999" customHeight="1" x14ac:dyDescent="0.45">
      <c r="B24" s="29"/>
      <c r="C24" s="212"/>
      <c r="D24" s="501"/>
      <c r="E24" s="501"/>
      <c r="F24" s="501"/>
      <c r="G24" s="17"/>
      <c r="H24" s="186"/>
      <c r="I24" s="497"/>
      <c r="J24" s="497"/>
      <c r="K24" s="3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501"/>
      <c r="E25" s="501"/>
      <c r="F25" s="501"/>
      <c r="G25" s="17"/>
      <c r="H25" s="186"/>
      <c r="I25" s="497"/>
      <c r="J25" s="497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D26" s="501"/>
      <c r="E26" s="501"/>
      <c r="F26" s="501"/>
      <c r="G26" s="17"/>
      <c r="H26" s="186"/>
      <c r="I26" s="497"/>
      <c r="J26" s="497"/>
      <c r="K26" s="30"/>
      <c r="L26" s="64"/>
      <c r="N26" s="145"/>
      <c r="O26" s="145"/>
      <c r="P26" s="145"/>
    </row>
    <row r="27" spans="2:16" ht="20.149999999999999" customHeight="1" x14ac:dyDescent="0.45">
      <c r="B27" s="29"/>
      <c r="C27" s="149" t="s">
        <v>2317</v>
      </c>
      <c r="D27" s="403"/>
      <c r="E27" s="403"/>
      <c r="F27" s="403"/>
      <c r="G27" s="76"/>
      <c r="H27" s="186"/>
      <c r="I27" s="497"/>
      <c r="J27" s="497"/>
      <c r="K27" s="190"/>
      <c r="L27" s="64"/>
      <c r="N27" s="145"/>
      <c r="O27" s="145"/>
      <c r="P27" s="145"/>
    </row>
    <row r="28" spans="2:16" ht="20.149999999999999" customHeight="1" x14ac:dyDescent="0.45">
      <c r="B28" s="29"/>
      <c r="C28" s="212" t="s">
        <v>990</v>
      </c>
      <c r="D28" s="501" t="str">
        <f>VLOOKUP(C28,'[3]Sales Master'!B$3:D$663,2,0)</f>
        <v>Coconut Milk 椰浆</v>
      </c>
      <c r="E28" s="501"/>
      <c r="F28" s="501"/>
      <c r="G28" s="17">
        <v>1</v>
      </c>
      <c r="H28" s="186" t="str">
        <f>VLOOKUP(C28,'[3]Sales Master'!B$3:F$955,5,0)</f>
        <v>(1L x 12bag)/箱</v>
      </c>
      <c r="I28" s="497" t="str">
        <f>VLOOKUP(C28,'[3]Sales Master'!B$3:E$955,4,0)</f>
        <v>Kara UHT</v>
      </c>
      <c r="J28" s="497"/>
      <c r="K28" s="190">
        <v>48</v>
      </c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501"/>
      <c r="E29" s="501"/>
      <c r="F29" s="501"/>
      <c r="G29" s="17"/>
      <c r="H29" s="186"/>
      <c r="I29" s="497"/>
      <c r="J29" s="497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501"/>
      <c r="E30" s="501"/>
      <c r="F30" s="501"/>
      <c r="G30" s="17"/>
      <c r="H30" s="186"/>
      <c r="I30" s="497"/>
      <c r="J30" s="497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501"/>
      <c r="E31" s="501"/>
      <c r="F31" s="501"/>
      <c r="G31" s="17"/>
      <c r="H31" s="186"/>
      <c r="I31" s="497"/>
      <c r="J31" s="497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D32" s="147"/>
      <c r="E32" s="147"/>
      <c r="F32" s="147"/>
      <c r="G32" s="17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D33" s="501"/>
      <c r="E33" s="501"/>
      <c r="F33" s="501"/>
      <c r="G33" s="17"/>
      <c r="H33" s="186"/>
      <c r="I33" s="497"/>
      <c r="J33" s="497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90"/>
      <c r="E34" s="490"/>
      <c r="F34" s="490"/>
      <c r="G34" s="33"/>
      <c r="H34" s="33"/>
      <c r="I34" s="33"/>
      <c r="J34" s="33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55" t="s">
        <v>13</v>
      </c>
      <c r="K36" s="456"/>
      <c r="L36" s="38">
        <f>SUM(L17:L34)</f>
        <v>134</v>
      </c>
      <c r="M36" s="63">
        <f>SUM(P7:P35)</f>
        <v>5.370000000000001</v>
      </c>
      <c r="N36" s="133">
        <f>M36/L36</f>
        <v>4.0074626865671648E-2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57" t="s">
        <v>19</v>
      </c>
      <c r="K38" s="458"/>
      <c r="L38" s="41">
        <f>L36-L37</f>
        <v>134</v>
      </c>
      <c r="M38" s="63"/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12.059999999999999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59" t="s">
        <v>21</v>
      </c>
      <c r="K40" s="460"/>
      <c r="L40" s="43">
        <f>L38+L39</f>
        <v>146.06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J38:K38"/>
    <mergeCell ref="J40:K40"/>
    <mergeCell ref="D30:F30"/>
    <mergeCell ref="D34:F34"/>
    <mergeCell ref="I33:J33"/>
    <mergeCell ref="J36:K36"/>
    <mergeCell ref="I30:J30"/>
    <mergeCell ref="I31:J31"/>
    <mergeCell ref="D33:F33"/>
    <mergeCell ref="D31:F31"/>
    <mergeCell ref="D29:F29"/>
    <mergeCell ref="D25:F25"/>
    <mergeCell ref="I29:J29"/>
    <mergeCell ref="I25:J25"/>
    <mergeCell ref="D22:F22"/>
    <mergeCell ref="I22:J22"/>
    <mergeCell ref="D24:F24"/>
    <mergeCell ref="D28:F28"/>
    <mergeCell ref="I24:J24"/>
    <mergeCell ref="I28:J28"/>
    <mergeCell ref="I23:J23"/>
    <mergeCell ref="D23:F23"/>
    <mergeCell ref="I27:J27"/>
    <mergeCell ref="D17:F17"/>
    <mergeCell ref="I17:J17"/>
    <mergeCell ref="D18:F18"/>
    <mergeCell ref="I18:J18"/>
    <mergeCell ref="D26:F26"/>
    <mergeCell ref="I26:J26"/>
    <mergeCell ref="D19:F19"/>
    <mergeCell ref="I19:J19"/>
    <mergeCell ref="D21:F21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7">
    <cfRule type="duplicateValues" dxfId="156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446</v>
      </c>
      <c r="J10" s="24" t="s">
        <v>27</v>
      </c>
      <c r="K10" s="493">
        <v>202311166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Punggol OASIS (Gourmet Paradise) - Fruits Stall                                              681 Punggol Drive #04-01               OASIS Terraces, Singapore 820681</v>
      </c>
      <c r="G11" s="481"/>
      <c r="H11" s="482"/>
      <c r="J11" s="26" t="s">
        <v>9</v>
      </c>
      <c r="K11" s="495">
        <v>45237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961</v>
      </c>
      <c r="D18" s="461" t="str">
        <f>VLOOKUP(C18,'Sales Master'!B$3:D$530,2,)</f>
        <v>Lychee in Syrup 荔枝</v>
      </c>
      <c r="E18" s="461"/>
      <c r="F18" s="461"/>
      <c r="G18" s="76">
        <v>1</v>
      </c>
      <c r="H18" s="188" t="str">
        <f>VLOOKUP(C18,'Sales Master'!$B$3:$F$2481,5,0)</f>
        <v>12 CAN/CARTON</v>
      </c>
      <c r="I18" s="497" t="str">
        <f>VLOOKUP(C18,'Sales Master'!$B$3:$E$2481,4,0)</f>
        <v>Statue</v>
      </c>
      <c r="J18" s="497"/>
      <c r="K18" s="30">
        <f>VLOOKUP(C18,'Sales Master'!B$3:AT$530,45,0)</f>
        <v>22</v>
      </c>
      <c r="L18" s="64">
        <f>K18*G18</f>
        <v>22</v>
      </c>
      <c r="M18" s="65"/>
      <c r="N18" s="145">
        <f>VLOOKUP(C18,'Sales Master'!$B$3:$DA$2272,104,0)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8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8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8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188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188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8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8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88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88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8"/>
      <c r="I28" s="497"/>
      <c r="J28" s="497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8"/>
      <c r="I29" s="497"/>
      <c r="J29" s="497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G30" s="76"/>
      <c r="H30" s="186"/>
      <c r="I30" s="85"/>
      <c r="J30" s="85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90"/>
      <c r="E31" s="490"/>
      <c r="F31" s="490"/>
      <c r="G31" s="33"/>
      <c r="H31" s="57"/>
      <c r="I31" s="474"/>
      <c r="J31" s="474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55" t="s">
        <v>13</v>
      </c>
      <c r="K33" s="456"/>
      <c r="L33" s="38">
        <f>SUM(L18:L31)</f>
        <v>22</v>
      </c>
      <c r="M33" s="63">
        <f>SUM(P18:P31)-L33*0.02</f>
        <v>5.0599999999999996</v>
      </c>
      <c r="N33" s="133">
        <f>M33/L33</f>
        <v>0.22999999999999998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57" t="s">
        <v>19</v>
      </c>
      <c r="K35" s="458"/>
      <c r="L35" s="41">
        <f>L33-L34</f>
        <v>22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1.98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59" t="s">
        <v>21</v>
      </c>
      <c r="K37" s="460"/>
      <c r="L37" s="43">
        <f>L35+L36</f>
        <v>23.98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4"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4"/>
  <sheetViews>
    <sheetView topLeftCell="G12" zoomScaleNormal="100" workbookViewId="0">
      <selection activeCell="G23" sqref="G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457</v>
      </c>
      <c r="J10" s="24" t="s">
        <v>27</v>
      </c>
      <c r="K10" s="493">
        <v>202501170</v>
      </c>
      <c r="L10" s="494"/>
    </row>
    <row r="11" spans="2:12" ht="20.149999999999999" customHeight="1" x14ac:dyDescent="0.45">
      <c r="B11" s="477" t="s">
        <v>455</v>
      </c>
      <c r="C11" s="478"/>
      <c r="D11" s="479"/>
      <c r="E11" s="25"/>
      <c r="F11" s="480" t="str">
        <f>VLOOKUP(H10,'Delivery Location'!A$4:N$460,2,0)</f>
        <v>K&amp;B                                                                  Blk 15, Woodland Loop.                           #03-10 Singapore 738322</v>
      </c>
      <c r="G11" s="481"/>
      <c r="H11" s="482"/>
      <c r="J11" s="26" t="s">
        <v>9</v>
      </c>
      <c r="K11" s="495">
        <v>45664</v>
      </c>
      <c r="L11" s="496"/>
    </row>
    <row r="12" spans="2:12" ht="20.149999999999999" customHeight="1" x14ac:dyDescent="0.45">
      <c r="B12" s="488" t="s">
        <v>458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459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9" ht="20.149999999999999" customHeight="1" x14ac:dyDescent="0.45">
      <c r="B18" s="364"/>
      <c r="C18" s="212" t="s">
        <v>806</v>
      </c>
      <c r="D18" s="562" t="str">
        <f>VLOOKUP(C18,'Sales Master'!B$3:D$530,2,)</f>
        <v>Green Mung Bean Starch 绿豆粉</v>
      </c>
      <c r="E18" s="562"/>
      <c r="F18" s="562"/>
      <c r="G18" s="76">
        <v>1</v>
      </c>
      <c r="H18" s="85" t="str">
        <f>VLOOKUP(C18,'Sales Master'!$B$3:$F$2413,5,0)</f>
        <v>25 KGS</v>
      </c>
      <c r="I18" s="497" t="str">
        <f>VLOOKUP(C18,'Sales Master'!$B$3:$E$2413,4,0)</f>
        <v>-</v>
      </c>
      <c r="J18" s="497"/>
      <c r="K18" s="83">
        <f>VLOOKUP(C18,'Sales Master'!B3:$AG$2433,32,0)</f>
        <v>150</v>
      </c>
      <c r="L18" s="84">
        <f t="shared" ref="L18" si="0">K18*G18</f>
        <v>150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58"/>
      <c r="C19" s="212" t="s">
        <v>836</v>
      </c>
      <c r="D19" s="461" t="str">
        <f>VLOOKUP(C19,'Sales Master'!B$3:D$530,2,)</f>
        <v>Red Bean 红豆 (5.5 mm)</v>
      </c>
      <c r="E19" s="461"/>
      <c r="F19" s="461"/>
      <c r="G19" s="76">
        <v>1</v>
      </c>
      <c r="H19" s="85" t="str">
        <f>VLOOKUP(C19,'Sales Master'!$B$3:$F$2413,5,0)</f>
        <v>5 KG</v>
      </c>
      <c r="I19" s="497" t="str">
        <f>VLOOKUP(C19,'Sales Master'!$B$3:$E$2413,4,0)</f>
        <v>-</v>
      </c>
      <c r="J19" s="497"/>
      <c r="K19" s="83">
        <f>VLOOKUP(C19,'Sales Master'!B6:$AG$2433,32,0)</f>
        <v>19</v>
      </c>
      <c r="L19" s="84">
        <f t="shared" ref="L19" si="1">K19*G19</f>
        <v>19</v>
      </c>
      <c r="M19" s="65"/>
      <c r="R19" s="63"/>
      <c r="S19" s="63"/>
    </row>
    <row r="20" spans="2:19" ht="20.149999999999999" customHeight="1" x14ac:dyDescent="0.45">
      <c r="B20" s="364"/>
      <c r="C20" s="212" t="s">
        <v>849</v>
      </c>
      <c r="D20" s="461" t="str">
        <f>VLOOKUP(C20,'Sales Master'!B$3:D$530,2,)</f>
        <v>Green Bean 绿豆</v>
      </c>
      <c r="E20" s="461"/>
      <c r="F20" s="461"/>
      <c r="G20" s="76">
        <v>1</v>
      </c>
      <c r="H20" s="85" t="str">
        <f>VLOOKUP(C20,'Sales Master'!$B$3:$F$2413,5,0)</f>
        <v>5 KG</v>
      </c>
      <c r="I20" s="497" t="str">
        <f>VLOOKUP(C20,'Sales Master'!$B$3:$E$2413,4,0)</f>
        <v>-</v>
      </c>
      <c r="J20" s="497"/>
      <c r="K20" s="83">
        <f>VLOOKUP(C20,'Sales Master'!B4:$AG$2433,32,0)</f>
        <v>14</v>
      </c>
      <c r="L20" s="84">
        <f t="shared" ref="L20" si="2">K20*G20</f>
        <v>14</v>
      </c>
      <c r="M20" s="65"/>
      <c r="R20" s="63"/>
      <c r="S20" s="63"/>
    </row>
    <row r="21" spans="2:19" ht="20.149999999999999" customHeight="1" x14ac:dyDescent="0.45">
      <c r="B21" s="364"/>
      <c r="C21" s="212" t="s">
        <v>868</v>
      </c>
      <c r="D21" s="461" t="str">
        <f>VLOOKUP(C21,'Sales Master'!B$3:D$530,2,)</f>
        <v>White Wheat 大麦</v>
      </c>
      <c r="E21" s="461"/>
      <c r="F21" s="461"/>
      <c r="G21" s="76">
        <v>1</v>
      </c>
      <c r="H21" s="85" t="str">
        <f>VLOOKUP(C21,'Sales Master'!$B$3:$F$2413,5,0)</f>
        <v>10 PKT/ Bag</v>
      </c>
      <c r="I21" s="497" t="str">
        <f>VLOOKUP(C21,'Sales Master'!$B$3:$E$2413,4,0)</f>
        <v>-</v>
      </c>
      <c r="J21" s="497"/>
      <c r="K21" s="83">
        <f>VLOOKUP(C21,'Sales Master'!B6:$AG$2433,32,0)</f>
        <v>11</v>
      </c>
      <c r="L21" s="84">
        <f>K21*G21</f>
        <v>11</v>
      </c>
      <c r="M21" s="65"/>
    </row>
    <row r="22" spans="2:19" ht="20.149999999999999" customHeight="1" x14ac:dyDescent="0.45">
      <c r="B22" s="58"/>
      <c r="C22" s="212" t="s">
        <v>877</v>
      </c>
      <c r="D22" s="461" t="str">
        <f>VLOOKUP(C22,'Sales Master'!B$3:D$530,2,)</f>
        <v>Small Sago 小丸</v>
      </c>
      <c r="E22" s="461"/>
      <c r="F22" s="461"/>
      <c r="G22" s="76">
        <v>1</v>
      </c>
      <c r="H22" s="85" t="str">
        <f>VLOOKUP(C22,'Sales Master'!$B$3:$F$2413,5,0)</f>
        <v>5 KG</v>
      </c>
      <c r="I22" s="497" t="str">
        <f>VLOOKUP(C22,'Sales Master'!$B$3:$E$2413,4,0)</f>
        <v>-</v>
      </c>
      <c r="J22" s="497"/>
      <c r="K22" s="83">
        <f>VLOOKUP(C22,'Sales Master'!B7:$AG$2433,32,0)</f>
        <v>11.5</v>
      </c>
      <c r="L22" s="84">
        <f t="shared" ref="L22" si="3">K22*G22</f>
        <v>11.5</v>
      </c>
      <c r="M22" s="65"/>
      <c r="R22" s="63"/>
      <c r="S22" s="63"/>
    </row>
    <row r="23" spans="2:19" ht="20.149999999999999" customHeight="1" x14ac:dyDescent="0.45">
      <c r="B23" s="58"/>
      <c r="C23" s="212" t="s">
        <v>1013</v>
      </c>
      <c r="D23" s="461" t="str">
        <f>VLOOKUP(C23,'Sales Master'!B$3:D$530,2,)</f>
        <v>Red Sugar 赤糖</v>
      </c>
      <c r="E23" s="461"/>
      <c r="F23" s="461"/>
      <c r="G23" s="76">
        <v>2</v>
      </c>
      <c r="H23" s="85" t="str">
        <f>VLOOKUP(C23,'Sales Master'!$B$3:$F$2413,5,0)</f>
        <v>6 KG</v>
      </c>
      <c r="I23" s="497" t="str">
        <f>VLOOKUP(C23,'Sales Master'!$B$3:$E$2413,4,0)</f>
        <v>Star</v>
      </c>
      <c r="J23" s="497"/>
      <c r="K23" s="83">
        <f>VLOOKUP(C23,'Sales Master'!B5:$AG$2433,32,0)</f>
        <v>17</v>
      </c>
      <c r="L23" s="84">
        <f t="shared" ref="L23" si="4">K23*G23</f>
        <v>34</v>
      </c>
      <c r="M23" s="65"/>
    </row>
    <row r="24" spans="2:19" ht="20.149999999999999" customHeight="1" x14ac:dyDescent="0.45">
      <c r="B24" s="58"/>
      <c r="C24" s="212"/>
      <c r="D24" s="461"/>
      <c r="E24" s="461"/>
      <c r="F24" s="461"/>
      <c r="G24" s="76"/>
      <c r="H24" s="85"/>
      <c r="I24" s="497"/>
      <c r="J24" s="497"/>
      <c r="K24" s="83"/>
      <c r="L24" s="84"/>
      <c r="M24" s="65"/>
      <c r="R24" s="63"/>
      <c r="S24" s="63"/>
    </row>
    <row r="25" spans="2:19" ht="20.149999999999999" customHeight="1" x14ac:dyDescent="0.45">
      <c r="B25" s="58"/>
      <c r="C25" s="212"/>
      <c r="D25" s="461"/>
      <c r="E25" s="461"/>
      <c r="F25" s="461"/>
      <c r="G25" s="76"/>
      <c r="H25" s="85"/>
      <c r="I25" s="497"/>
      <c r="J25" s="497"/>
      <c r="K25" s="83"/>
      <c r="L25" s="84"/>
      <c r="M25" s="65"/>
    </row>
    <row r="26" spans="2:19" ht="20.149999999999999" customHeight="1" x14ac:dyDescent="0.45">
      <c r="B26" s="58"/>
      <c r="C26" s="212"/>
      <c r="G26" s="76"/>
      <c r="H26" s="85"/>
      <c r="I26" s="208"/>
      <c r="J26" s="208"/>
      <c r="K26" s="83"/>
      <c r="L26" s="84"/>
      <c r="M26" s="65"/>
    </row>
    <row r="27" spans="2:19" ht="20.149999999999999" customHeight="1" x14ac:dyDescent="0.45">
      <c r="B27" s="58"/>
      <c r="C27" s="149" t="s">
        <v>2268</v>
      </c>
      <c r="D27" s="403"/>
      <c r="E27" s="403"/>
      <c r="F27" s="403"/>
      <c r="G27" s="76"/>
      <c r="H27" s="186"/>
      <c r="I27" s="497"/>
      <c r="J27" s="497"/>
      <c r="K27" s="190"/>
      <c r="L27" s="84"/>
      <c r="M27" s="65"/>
    </row>
    <row r="28" spans="2:19" ht="20.149999999999999" customHeight="1" x14ac:dyDescent="0.45">
      <c r="B28" s="58"/>
      <c r="C28" s="212" t="s">
        <v>868</v>
      </c>
      <c r="D28" s="501" t="str">
        <f>VLOOKUP(C28,'[3]Sales Master'!B$3:D$663,2,0)</f>
        <v>White Wheat 大麦</v>
      </c>
      <c r="E28" s="501"/>
      <c r="F28" s="501"/>
      <c r="G28" s="17">
        <v>1</v>
      </c>
      <c r="H28" s="186" t="str">
        <f>VLOOKUP(C28,'[3]Sales Master'!B$3:F$955,5,0)</f>
        <v>10PKT/BAG</v>
      </c>
      <c r="I28" s="497" t="str">
        <f>VLOOKUP(C28,'[3]Sales Master'!B$3:E$955,4,0)</f>
        <v>-</v>
      </c>
      <c r="J28" s="497"/>
      <c r="K28" s="190">
        <v>11</v>
      </c>
      <c r="L28" s="84"/>
      <c r="M28" s="65"/>
    </row>
    <row r="29" spans="2:19" ht="20.149999999999999" customHeight="1" x14ac:dyDescent="0.45">
      <c r="B29" s="58"/>
      <c r="C29" s="212" t="s">
        <v>877</v>
      </c>
      <c r="D29" s="501" t="str">
        <f>VLOOKUP(C29,'[3]Sales Master'!B$3:D$663,2,0)</f>
        <v>Small Sago 小丸</v>
      </c>
      <c r="E29" s="501"/>
      <c r="F29" s="501"/>
      <c r="G29" s="17">
        <v>1</v>
      </c>
      <c r="H29" s="186" t="str">
        <f>VLOOKUP(C29,'[3]Sales Master'!B$3:F$955,5,0)</f>
        <v>5 kgs</v>
      </c>
      <c r="I29" s="497" t="str">
        <f>VLOOKUP(C29,'[3]Sales Master'!B$3:E$955,4,0)</f>
        <v>SW</v>
      </c>
      <c r="J29" s="497"/>
      <c r="K29" s="190">
        <v>11.5</v>
      </c>
      <c r="L29" s="84"/>
      <c r="M29" s="65"/>
      <c r="N29" s="145"/>
      <c r="O29" s="145"/>
      <c r="P29" s="145"/>
    </row>
    <row r="30" spans="2:19" ht="20.149999999999999" customHeight="1" x14ac:dyDescent="0.45">
      <c r="B30" s="58"/>
      <c r="C30" s="212" t="s">
        <v>1013</v>
      </c>
      <c r="D30" s="501" t="str">
        <f>VLOOKUP(C30,'[3]Sales Master'!B$3:D$663,2,0)</f>
        <v>Red Sugar 赤糖</v>
      </c>
      <c r="E30" s="501"/>
      <c r="F30" s="501"/>
      <c r="G30" s="17">
        <v>1</v>
      </c>
      <c r="H30" s="186" t="str">
        <f>VLOOKUP(C30,'[3]Sales Master'!B$3:F$955,5,0)</f>
        <v>6 kgs</v>
      </c>
      <c r="I30" s="497" t="str">
        <f>VLOOKUP(C30,'[3]Sales Master'!B$3:E$955,4,0)</f>
        <v>Star</v>
      </c>
      <c r="J30" s="497"/>
      <c r="K30" s="190">
        <v>17</v>
      </c>
      <c r="L30" s="84"/>
      <c r="M30" s="65"/>
      <c r="N30" s="145"/>
      <c r="O30" s="145"/>
      <c r="P30" s="145"/>
    </row>
    <row r="31" spans="2:19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9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SUM(L18:L31)</f>
        <v>239.5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239.5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21.555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261.05500000000001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J37" s="177"/>
      <c r="K37" s="173"/>
      <c r="L37" s="37"/>
    </row>
    <row r="38" spans="2:12" ht="20.149999999999999" customHeight="1" x14ac:dyDescent="0.45">
      <c r="B38" s="144" t="s">
        <v>690</v>
      </c>
      <c r="J38" s="173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K40" s="17"/>
      <c r="L40" s="18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  <mergeCell ref="J36:K36"/>
    <mergeCell ref="J32:K32"/>
    <mergeCell ref="K14:L14"/>
    <mergeCell ref="D19:F19"/>
    <mergeCell ref="I19:J19"/>
    <mergeCell ref="D20:F20"/>
    <mergeCell ref="I20:J20"/>
    <mergeCell ref="D24:F24"/>
    <mergeCell ref="I24:J24"/>
    <mergeCell ref="D22:F22"/>
    <mergeCell ref="D30:F30"/>
    <mergeCell ref="I30:J30"/>
    <mergeCell ref="I22:J22"/>
    <mergeCell ref="B14:D14"/>
    <mergeCell ref="D21:F21"/>
    <mergeCell ref="I21:J21"/>
    <mergeCell ref="D25:F25"/>
    <mergeCell ref="I25:J25"/>
    <mergeCell ref="K12:L12"/>
    <mergeCell ref="B13:D13"/>
    <mergeCell ref="J34:K34"/>
    <mergeCell ref="K13:L13"/>
    <mergeCell ref="D23:F23"/>
    <mergeCell ref="I23:J23"/>
    <mergeCell ref="I27:J27"/>
    <mergeCell ref="D28:F28"/>
    <mergeCell ref="I28:J28"/>
    <mergeCell ref="D29:F29"/>
    <mergeCell ref="I29:J29"/>
  </mergeCells>
  <conditionalFormatting sqref="C27">
    <cfRule type="duplicateValues" dxfId="155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461</v>
      </c>
      <c r="J10" s="24" t="s">
        <v>27</v>
      </c>
      <c r="K10" s="493">
        <v>202409227</v>
      </c>
      <c r="L10" s="494"/>
    </row>
    <row r="11" spans="2:12" ht="20.149999999999999" customHeight="1" x14ac:dyDescent="0.45">
      <c r="B11" s="477" t="s">
        <v>462</v>
      </c>
      <c r="C11" s="478"/>
      <c r="D11" s="479"/>
      <c r="E11" s="25"/>
      <c r="F11" s="480" t="str">
        <f>VLOOKUP(H10,'Delivery Location'!A$4:N$460,2,0)</f>
        <v>S. Marco Food Trading Pte Ltd            39, Woodlands Close #05-27/28/29 Singapore 737856</v>
      </c>
      <c r="G11" s="481"/>
      <c r="H11" s="482"/>
      <c r="J11" s="26" t="s">
        <v>9</v>
      </c>
      <c r="K11" s="495">
        <v>45545</v>
      </c>
      <c r="L11" s="496"/>
    </row>
    <row r="12" spans="2:12" ht="20.149999999999999" customHeight="1" x14ac:dyDescent="0.45">
      <c r="B12" s="488" t="s">
        <v>1683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1684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 t="s">
        <v>463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464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16" ht="20.149999999999999" customHeight="1" x14ac:dyDescent="0.45">
      <c r="B18" s="58"/>
      <c r="C18" s="212" t="s">
        <v>736</v>
      </c>
      <c r="D18" s="498" t="str">
        <f>VLOOKUP(C18,'Sales Master'!B$3:D$530,2,)</f>
        <v>Bobo ChaCha Cubes 摩摩喳喳</v>
      </c>
      <c r="E18" s="498"/>
      <c r="F18" s="498"/>
      <c r="G18" s="76">
        <v>6</v>
      </c>
      <c r="H18" s="209" t="str">
        <f>VLOOKUP(C18,'Sales Master'!$B$3:$E$530,4,0)</f>
        <v>DO!</v>
      </c>
      <c r="I18" s="563" t="str">
        <f>VLOOKUP(C18,'Sales Master'!$B$3:F$530,5,0)</f>
        <v>800 GM/ Bag包</v>
      </c>
      <c r="J18" s="563"/>
      <c r="K18" s="83">
        <v>8</v>
      </c>
      <c r="L18" s="84">
        <f>K18*G18</f>
        <v>48</v>
      </c>
      <c r="M18" s="65"/>
      <c r="N18" s="145">
        <f>VLOOKUP(C18,'Sales Master'!$B$3:$DA$2272,104,0)</f>
        <v>0.89</v>
      </c>
      <c r="O18" s="145">
        <f>K18-N18</f>
        <v>7.11</v>
      </c>
      <c r="P18" s="145">
        <f>O18*G18</f>
        <v>42.660000000000004</v>
      </c>
    </row>
    <row r="19" spans="2:16" ht="20.149999999999999" customHeight="1" x14ac:dyDescent="0.45">
      <c r="B19" s="58"/>
      <c r="C19" s="17"/>
      <c r="D19" s="461"/>
      <c r="E19" s="461"/>
      <c r="F19" s="461"/>
      <c r="G19" s="76"/>
      <c r="H19" s="82"/>
      <c r="I19" s="446"/>
      <c r="J19" s="446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82"/>
      <c r="I20" s="446"/>
      <c r="J20" s="446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82"/>
      <c r="I21" s="446"/>
      <c r="J21" s="446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82"/>
      <c r="I22" s="446"/>
      <c r="J22" s="446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17"/>
      <c r="D23" s="461"/>
      <c r="E23" s="461"/>
      <c r="F23" s="461"/>
      <c r="G23" s="76"/>
      <c r="H23" s="82"/>
      <c r="I23" s="446"/>
      <c r="J23" s="446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17"/>
      <c r="D24" s="461"/>
      <c r="E24" s="461"/>
      <c r="F24" s="461"/>
      <c r="G24" s="76"/>
      <c r="H24" s="82"/>
      <c r="I24" s="446"/>
      <c r="J24" s="446"/>
      <c r="K24" s="83"/>
      <c r="L24" s="84"/>
      <c r="M24" s="65"/>
    </row>
    <row r="25" spans="2:16" ht="20.149999999999999" customHeight="1" x14ac:dyDescent="0.45">
      <c r="B25" s="58"/>
      <c r="C25" s="17"/>
      <c r="D25" s="461"/>
      <c r="E25" s="461"/>
      <c r="F25" s="461"/>
      <c r="G25" s="76"/>
      <c r="H25" s="82"/>
      <c r="I25" s="446"/>
      <c r="J25" s="446"/>
      <c r="K25" s="83"/>
      <c r="L25" s="84"/>
      <c r="M25" s="65"/>
    </row>
    <row r="26" spans="2:16" ht="20.149999999999999" customHeight="1" x14ac:dyDescent="0.45">
      <c r="B26" s="58"/>
      <c r="C26" s="17"/>
      <c r="D26" s="461"/>
      <c r="E26" s="461"/>
      <c r="F26" s="461"/>
      <c r="G26" s="76"/>
      <c r="H26" s="82"/>
      <c r="I26" s="446"/>
      <c r="J26" s="446"/>
      <c r="K26" s="83"/>
      <c r="L26" s="84"/>
    </row>
    <row r="27" spans="2:16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SUM(L17:L26)</f>
        <v>48</v>
      </c>
      <c r="M28" s="63">
        <f>SUM(P18:P27)</f>
        <v>42.660000000000004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 t="s">
        <v>1480</v>
      </c>
      <c r="L29" s="41"/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48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4.32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52.32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0:K30"/>
    <mergeCell ref="J32:K32"/>
    <mergeCell ref="J28:K28"/>
    <mergeCell ref="D26:F26"/>
    <mergeCell ref="I26:J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4A85-E55A-493D-8DFD-2AC7DE44340C}">
  <sheetPr>
    <tabColor rgb="FF7030A0"/>
    <pageSetUpPr fitToPage="1"/>
  </sheetPr>
  <dimension ref="B1:O40"/>
  <sheetViews>
    <sheetView topLeftCell="A20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346">
        <v>0.09</v>
      </c>
    </row>
    <row r="2" spans="2:13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3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3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3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3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3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3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467</v>
      </c>
      <c r="J10" s="24" t="s">
        <v>27</v>
      </c>
      <c r="K10" s="493">
        <v>202404220</v>
      </c>
      <c r="L10" s="494"/>
    </row>
    <row r="11" spans="2:13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 xml:space="preserve">Koufu - Drink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95">
        <v>45390</v>
      </c>
      <c r="L11" s="496"/>
    </row>
    <row r="12" spans="2:13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3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3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3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119" t="s">
        <v>610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9" t="s">
        <v>953</v>
      </c>
      <c r="D18" s="500" t="str">
        <f>VLOOKUP(C18,'Sales Master'!B$3:D$530,2,)</f>
        <v>Aloe Vera 芦荟 10mm</v>
      </c>
      <c r="E18" s="500"/>
      <c r="F18" s="500"/>
      <c r="G18" s="17">
        <v>1</v>
      </c>
      <c r="H18" s="186" t="str">
        <f>VLOOKUP(C18,'Sales Master'!$B$3:$F$2413,5,0)</f>
        <v>1 Can X A10</v>
      </c>
      <c r="I18" s="497" t="str">
        <f>VLOOKUP(C18,'Sales Master'!$B$3:$E$2413,4,0)</f>
        <v>Chefs</v>
      </c>
      <c r="J18" s="497"/>
      <c r="K18" s="30">
        <f>VLOOKUP(C18,'Sales Master'!$B$3:$J$530,9,0)</f>
        <v>10</v>
      </c>
      <c r="L18" s="64">
        <f>K18*G18</f>
        <v>10</v>
      </c>
    </row>
    <row r="19" spans="2:15" ht="20.149999999999999" customHeight="1" x14ac:dyDescent="0.45">
      <c r="B19" s="29"/>
      <c r="D19" s="501"/>
      <c r="E19" s="501"/>
      <c r="F19" s="501"/>
      <c r="G19" s="17"/>
      <c r="H19" s="186"/>
      <c r="I19" s="497"/>
      <c r="J19" s="497"/>
      <c r="K19" s="30"/>
      <c r="L19" s="92"/>
    </row>
    <row r="20" spans="2:15" ht="20.149999999999999" customHeight="1" x14ac:dyDescent="0.45">
      <c r="B20" s="29"/>
      <c r="D20" s="501"/>
      <c r="E20" s="501"/>
      <c r="F20" s="501"/>
      <c r="G20" s="17"/>
      <c r="H20" s="186"/>
      <c r="I20" s="497"/>
      <c r="J20" s="497"/>
      <c r="K20" s="30"/>
      <c r="L20" s="92"/>
    </row>
    <row r="21" spans="2:15" ht="20.149999999999999" customHeight="1" x14ac:dyDescent="0.45">
      <c r="B21" s="29"/>
      <c r="D21" s="501"/>
      <c r="E21" s="501"/>
      <c r="F21" s="501"/>
      <c r="G21" s="17"/>
      <c r="H21" s="186"/>
      <c r="I21" s="497"/>
      <c r="J21" s="497"/>
      <c r="K21" s="30"/>
      <c r="L21" s="92"/>
    </row>
    <row r="22" spans="2:15" ht="20.149999999999999" customHeight="1" x14ac:dyDescent="0.45">
      <c r="B22" s="29"/>
      <c r="D22" s="501"/>
      <c r="E22" s="501"/>
      <c r="F22" s="501"/>
      <c r="G22" s="17"/>
      <c r="H22" s="186"/>
      <c r="I22" s="497"/>
      <c r="J22" s="497"/>
      <c r="K22" s="30"/>
      <c r="L22" s="92"/>
    </row>
    <row r="23" spans="2:15" ht="20.149999999999999" customHeight="1" x14ac:dyDescent="0.45">
      <c r="B23" s="29"/>
      <c r="D23" s="501"/>
      <c r="E23" s="501"/>
      <c r="F23" s="501"/>
      <c r="G23" s="17"/>
      <c r="H23" s="186"/>
      <c r="I23" s="497"/>
      <c r="J23" s="497"/>
      <c r="K23" s="30"/>
      <c r="L23" s="92"/>
    </row>
    <row r="24" spans="2:15" ht="20.149999999999999" customHeight="1" x14ac:dyDescent="0.45">
      <c r="B24" s="29"/>
      <c r="D24" s="501"/>
      <c r="E24" s="501"/>
      <c r="F24" s="501"/>
      <c r="G24" s="17"/>
      <c r="H24" s="186"/>
      <c r="I24" s="497"/>
      <c r="J24" s="497"/>
      <c r="K24" s="30"/>
      <c r="L24" s="92"/>
    </row>
    <row r="25" spans="2:15" ht="20.149999999999999" customHeight="1" x14ac:dyDescent="0.45">
      <c r="B25" s="29"/>
      <c r="D25" s="501"/>
      <c r="E25" s="501"/>
      <c r="F25" s="501"/>
      <c r="G25" s="17"/>
      <c r="H25" s="186"/>
      <c r="I25" s="497"/>
      <c r="J25" s="497"/>
      <c r="K25" s="30"/>
      <c r="L25" s="92"/>
    </row>
    <row r="26" spans="2:15" ht="20.149999999999999" customHeight="1" thickBot="1" x14ac:dyDescent="0.5">
      <c r="B26" s="32"/>
      <c r="C26" s="33"/>
      <c r="D26" s="490"/>
      <c r="E26" s="490"/>
      <c r="F26" s="490"/>
      <c r="G26" s="33"/>
      <c r="H26" s="33"/>
      <c r="I26" s="33"/>
      <c r="J26" s="33"/>
      <c r="K26" s="34"/>
      <c r="L26" s="35"/>
    </row>
    <row r="27" spans="2:15" ht="20.149999999999999" customHeight="1" thickBot="1" x14ac:dyDescent="0.5">
      <c r="B27" s="36"/>
      <c r="L27" s="37"/>
    </row>
    <row r="28" spans="2:15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55" t="s">
        <v>13</v>
      </c>
      <c r="K28" s="456"/>
      <c r="L28" s="38">
        <f>SUM(L17:L26)</f>
        <v>10</v>
      </c>
    </row>
    <row r="29" spans="2:15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5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57" t="s">
        <v>19</v>
      </c>
      <c r="K30" s="458"/>
      <c r="L30" s="41">
        <f>L28-L29</f>
        <v>10</v>
      </c>
      <c r="M30" s="63"/>
    </row>
    <row r="31" spans="2:15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0.89999999999999991</v>
      </c>
    </row>
    <row r="32" spans="2:15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59" t="s">
        <v>21</v>
      </c>
      <c r="K32" s="460"/>
      <c r="L32" s="43">
        <f>L30+L31</f>
        <v>10.9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26:F26"/>
    <mergeCell ref="J28:K28"/>
    <mergeCell ref="J30:K30"/>
    <mergeCell ref="J32:K32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9:F19"/>
    <mergeCell ref="I19:J19"/>
    <mergeCell ref="K14:L14"/>
    <mergeCell ref="B15:D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152FD-9AE5-4955-8EEE-3BD94382205D}">
  <sheetPr>
    <tabColor rgb="FF7030A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468</v>
      </c>
      <c r="J10" s="24" t="s">
        <v>27</v>
      </c>
      <c r="K10" s="493">
        <v>202411515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Dim Sum                                       4 Bukit Batok Street 41,                       #01-22/23/24/25/26/27/28,                       Le Quest Mall, Singapore 657991</v>
      </c>
      <c r="G11" s="481"/>
      <c r="H11" s="482"/>
      <c r="J11" s="26" t="s">
        <v>9</v>
      </c>
      <c r="K11" s="495">
        <v>45621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990</v>
      </c>
      <c r="D18" s="461" t="str">
        <f>VLOOKUP(C18,'Sales Master'!B$3:D$530,2,)</f>
        <v>Coconut Milk 椰浆</v>
      </c>
      <c r="E18" s="461"/>
      <c r="F18" s="461"/>
      <c r="G18" s="17">
        <v>5</v>
      </c>
      <c r="H18" s="85" t="str">
        <f>VLOOKUP(C18,'Sales Master'!$B$3:$F$2481,5,0)</f>
        <v>(1L x 12bag)/箱</v>
      </c>
      <c r="I18" s="497" t="str">
        <f>VLOOKUP(C18,'Sales Master'!$B$3:$E$2481,4,0)</f>
        <v>Kara UHT</v>
      </c>
      <c r="J18" s="497"/>
      <c r="K18" s="30">
        <f>VLOOKUP(C18,'Sales Master'!$B$3:$J$530,9,0)</f>
        <v>42</v>
      </c>
      <c r="L18" s="31">
        <f>K18*G18</f>
        <v>210</v>
      </c>
      <c r="N18" s="145">
        <f>VLOOKUP(C18,'Sales Master'!$B$3:$DA$2272,104,0)</f>
        <v>35.799999999999997</v>
      </c>
      <c r="O18" s="145">
        <f>K18-N18</f>
        <v>6.2000000000000028</v>
      </c>
      <c r="P18" s="145">
        <f>O18*G18</f>
        <v>31.000000000000014</v>
      </c>
    </row>
    <row r="19" spans="2:16" ht="20.149999999999999" customHeight="1" x14ac:dyDescent="0.45">
      <c r="B19" s="29"/>
      <c r="C19" s="212"/>
      <c r="D19" s="564"/>
      <c r="E19" s="564"/>
      <c r="F19" s="564"/>
      <c r="G19" s="17"/>
      <c r="H19" s="85"/>
      <c r="I19" s="497"/>
      <c r="J19" s="497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97"/>
      <c r="J21" s="497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97"/>
      <c r="J23" s="497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97"/>
      <c r="J24" s="497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90"/>
      <c r="E28" s="490"/>
      <c r="F28" s="490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210</v>
      </c>
      <c r="M30" s="63">
        <f>SUM(P18:P23)-L30*0.02</f>
        <v>26.800000000000015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210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18.899999999999999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228.9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J34:K34"/>
    <mergeCell ref="D23:F23"/>
    <mergeCell ref="I23:J23"/>
    <mergeCell ref="D24:F24"/>
    <mergeCell ref="I24:J24"/>
    <mergeCell ref="D26:F26"/>
    <mergeCell ref="D27:F27"/>
    <mergeCell ref="D19:F19"/>
    <mergeCell ref="I19:J19"/>
    <mergeCell ref="D28:F28"/>
    <mergeCell ref="J30:K30"/>
    <mergeCell ref="J32:K32"/>
    <mergeCell ref="I21:J21"/>
    <mergeCell ref="I17:J17"/>
    <mergeCell ref="D18:F18"/>
    <mergeCell ref="D25:F25"/>
    <mergeCell ref="D20:F20"/>
    <mergeCell ref="D21:F21"/>
    <mergeCell ref="I20:J20"/>
    <mergeCell ref="I18:J18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C000"/>
    <pageSetUpPr fitToPage="1"/>
  </sheetPr>
  <dimension ref="B1:V42"/>
  <sheetViews>
    <sheetView topLeftCell="B1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471</v>
      </c>
      <c r="J10" s="24" t="s">
        <v>27</v>
      </c>
      <c r="K10" s="493">
        <v>202306020</v>
      </c>
      <c r="L10" s="494"/>
    </row>
    <row r="11" spans="2:14" ht="20.149999999999999" customHeight="1" x14ac:dyDescent="0.45">
      <c r="B11" s="477" t="s">
        <v>1188</v>
      </c>
      <c r="C11" s="478"/>
      <c r="D11" s="479"/>
      <c r="E11" s="25"/>
      <c r="F11" s="480" t="str">
        <f>VLOOKUP(H10,'Delivery Location'!A$4:N$460,2,0)</f>
        <v xml:space="preserve">FOOD REPUBLIC PTE LTD                                  City Square@Drink Stall #14A                            180 Kitchener Road #04-31                  Singapore 208539                                           </v>
      </c>
      <c r="G11" s="481"/>
      <c r="H11" s="482"/>
      <c r="J11" s="26" t="s">
        <v>9</v>
      </c>
      <c r="K11" s="495">
        <v>45078</v>
      </c>
      <c r="L11" s="496"/>
    </row>
    <row r="12" spans="2:14" ht="20.149999999999999" customHeight="1" x14ac:dyDescent="0.45">
      <c r="B12" s="488" t="s">
        <v>1189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  <c r="N12" s="19" t="s">
        <v>992</v>
      </c>
    </row>
    <row r="13" spans="2:14" ht="20.149999999999999" customHeight="1" x14ac:dyDescent="0.45">
      <c r="B13" s="488" t="s">
        <v>1190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  <c r="N13" s="19" t="s">
        <v>1299</v>
      </c>
    </row>
    <row r="14" spans="2:14" ht="20.149999999999999" customHeight="1" x14ac:dyDescent="0.45">
      <c r="B14" s="488" t="s">
        <v>1191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  <c r="N14" s="19" t="s">
        <v>1184</v>
      </c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22" ht="20.149999999999999" customHeight="1" x14ac:dyDescent="0.45">
      <c r="B18" s="58"/>
      <c r="C18" s="212" t="s">
        <v>728</v>
      </c>
      <c r="D18" s="461" t="str">
        <f>VLOOKUP(C18,'Sales Master'!B$3:D$530,2,)</f>
        <v>Strawberry Puree 草莓</v>
      </c>
      <c r="E18" s="461"/>
      <c r="F18" s="461"/>
      <c r="G18" s="76">
        <v>5</v>
      </c>
      <c r="H18" s="183" t="str">
        <f>VLOOKUP(C18,'Sales Master'!$B$3:$F$2413,5,0)</f>
        <v>1 KG/ Box盒</v>
      </c>
      <c r="I18" s="462" t="str">
        <f>VLOOKUP(C18,'Sales Master'!$B$3:$E$2413,4,0)</f>
        <v>DO!</v>
      </c>
      <c r="J18" s="462"/>
      <c r="K18" s="83">
        <f>VLOOKUP(C18,'Sales Master'!B$3:I$530,8,0)</f>
        <v>8</v>
      </c>
      <c r="L18" s="84">
        <f>K18*G18</f>
        <v>40</v>
      </c>
      <c r="N18" s="145">
        <f>VLOOKUP(C18,'Sales Master'!$B$3:$DA$2272,104,0)</f>
        <v>4.68</v>
      </c>
      <c r="O18" s="145">
        <f>K18-N18</f>
        <v>3.3200000000000003</v>
      </c>
      <c r="P18" s="145">
        <f>O18*G18</f>
        <v>16.600000000000001</v>
      </c>
      <c r="R18" s="170">
        <f>N18*G18*0.07</f>
        <v>1.6380000000000001</v>
      </c>
      <c r="S18" s="170">
        <f>N18*G18*0.08</f>
        <v>1.8719999999999999</v>
      </c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183"/>
      <c r="I19" s="462"/>
      <c r="J19" s="462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3"/>
      <c r="I20" s="462"/>
      <c r="J20" s="462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3"/>
      <c r="I21" s="462"/>
      <c r="J21" s="462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30"/>
      <c r="L27" s="31"/>
    </row>
    <row r="28" spans="2:22" ht="20.149999999999999" customHeight="1" x14ac:dyDescent="0.45">
      <c r="B28" s="104"/>
      <c r="C28" s="105"/>
      <c r="D28" s="454"/>
      <c r="E28" s="454"/>
      <c r="F28" s="454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SUM(L18:L29)</f>
        <v>40</v>
      </c>
      <c r="M30" s="63">
        <f>SUM(P18:P30)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700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690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54" priority="1"/>
  </conditionalFormatting>
  <conditionalFormatting sqref="C19:C22">
    <cfRule type="duplicateValues" dxfId="153" priority="4"/>
  </conditionalFormatting>
  <conditionalFormatting sqref="C23">
    <cfRule type="duplicateValues" dxfId="152" priority="5"/>
  </conditionalFormatting>
  <conditionalFormatting sqref="C24">
    <cfRule type="duplicateValues" dxfId="151" priority="3"/>
  </conditionalFormatting>
  <conditionalFormatting sqref="C25">
    <cfRule type="duplicateValues" dxfId="150" priority="2"/>
  </conditionalFormatting>
  <conditionalFormatting sqref="C27">
    <cfRule type="duplicateValues" dxfId="149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EF42-3584-4846-BE4D-1138C1D5E364}">
  <sheetPr>
    <tabColor rgb="FF7030A0"/>
    <pageSetUpPr fitToPage="1"/>
  </sheetPr>
  <dimension ref="B1:P41"/>
  <sheetViews>
    <sheetView topLeftCell="B23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474</v>
      </c>
      <c r="J10" s="24" t="s">
        <v>27</v>
      </c>
      <c r="K10" s="493">
        <v>202411516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    4 Bukit Batok Street 41,                       #01-22/23/24/25/26/27/28,                       Le Quest Mall, Singapore 657991</v>
      </c>
      <c r="G11" s="481"/>
      <c r="H11" s="482"/>
      <c r="J11" s="26" t="s">
        <v>9</v>
      </c>
      <c r="K11" s="495">
        <v>45621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870</v>
      </c>
      <c r="D18" s="461" t="str">
        <f>VLOOKUP(C18,'Sales Master'!B$3:D$530,2,)</f>
        <v>Pearl Barley 薏米</v>
      </c>
      <c r="E18" s="461"/>
      <c r="F18" s="461"/>
      <c r="G18" s="17">
        <v>1</v>
      </c>
      <c r="H18" s="85" t="str">
        <f>VLOOKUP(C18,'Sales Master'!$B$3:$F$2481,5,0)</f>
        <v>5 KG</v>
      </c>
      <c r="I18" s="497" t="str">
        <f>VLOOKUP(C18,'Sales Master'!$B$3:$E$2481,4,0)</f>
        <v>-</v>
      </c>
      <c r="J18" s="497"/>
      <c r="K18" s="30">
        <f>VLOOKUP(C18,'Sales Master'!$B$3:$J$530,9,0)</f>
        <v>10</v>
      </c>
      <c r="L18" s="31">
        <f>K18*G18</f>
        <v>10</v>
      </c>
      <c r="N18" s="145">
        <f>VLOOKUP(C18,'Sales Master'!$B$3:$DA$2272,104,0)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212" t="s">
        <v>2208</v>
      </c>
      <c r="D19" s="461" t="str">
        <f>VLOOKUP(C19,'Sales Master'!B$3:D$530,2,)</f>
        <v>Lychee in Syrup 荔枝</v>
      </c>
      <c r="E19" s="461"/>
      <c r="F19" s="461"/>
      <c r="G19" s="17">
        <v>1</v>
      </c>
      <c r="H19" s="85" t="str">
        <f>VLOOKUP(C19,'Sales Master'!$B$3:$F$2481,5,0)</f>
        <v>(567gm x 12)/ Ctn箱</v>
      </c>
      <c r="I19" s="497" t="str">
        <f>VLOOKUP(C19,'Sales Master'!$B$3:$E$2481,4,0)</f>
        <v>GoldenBoy</v>
      </c>
      <c r="J19" s="497"/>
      <c r="K19" s="30">
        <f>VLOOKUP(C19,'Sales Master'!$B$3:$J$530,9,0)</f>
        <v>22</v>
      </c>
      <c r="L19" s="31">
        <f>K19*G19</f>
        <v>22</v>
      </c>
      <c r="N19" s="145">
        <f>VLOOKUP(C19,'Sales Master'!$B$3:$DA$2272,104,0)</f>
        <v>19.5</v>
      </c>
      <c r="O19" s="145">
        <f>K19-N19</f>
        <v>2.5</v>
      </c>
      <c r="P19" s="145">
        <f>O19*G19</f>
        <v>2.5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91"/>
      <c r="J21" s="491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91"/>
      <c r="J22" s="491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91"/>
      <c r="J23" s="491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90"/>
      <c r="E27" s="490"/>
      <c r="F27" s="490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55" t="s">
        <v>13</v>
      </c>
      <c r="K29" s="456"/>
      <c r="L29" s="38">
        <f>SUM(L17:L27)</f>
        <v>32</v>
      </c>
      <c r="M29" s="63">
        <f>SUM(P18:P21)-L29*0.02</f>
        <v>4.2600000000000007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57" t="s">
        <v>19</v>
      </c>
      <c r="K31" s="458"/>
      <c r="L31" s="41">
        <f>L29-L30</f>
        <v>32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2.88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59" t="s">
        <v>21</v>
      </c>
      <c r="K33" s="460"/>
      <c r="L33" s="43">
        <f>L31+L32</f>
        <v>34.880000000000003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9:F19"/>
    <mergeCell ref="I19:J19"/>
    <mergeCell ref="D18:F18"/>
    <mergeCell ref="I18:J18"/>
    <mergeCell ref="D17:F17"/>
    <mergeCell ref="D21:F21"/>
    <mergeCell ref="I21:J21"/>
    <mergeCell ref="D27:F27"/>
    <mergeCell ref="J29:K29"/>
    <mergeCell ref="J31:K31"/>
    <mergeCell ref="J33:K33"/>
    <mergeCell ref="D22:F22"/>
    <mergeCell ref="I22:J22"/>
    <mergeCell ref="D23:F23"/>
    <mergeCell ref="I23:J23"/>
    <mergeCell ref="D25:F25"/>
    <mergeCell ref="D26:F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90</v>
      </c>
      <c r="J10" s="24" t="s">
        <v>27</v>
      </c>
      <c r="K10" s="493">
        <v>202001280</v>
      </c>
      <c r="L10" s="494"/>
    </row>
    <row r="11" spans="2:12" ht="20.149999999999999" customHeight="1" x14ac:dyDescent="0.45">
      <c r="B11" s="477" t="s">
        <v>335</v>
      </c>
      <c r="C11" s="478"/>
      <c r="D11" s="479"/>
      <c r="E11" s="25"/>
      <c r="F11" s="480" t="str">
        <f>VLOOKUP(H10,'Delivery Location'!A$4:N$460,2,0)</f>
        <v xml:space="preserve">Koufu - (Dessert)                                         6, Raffles Boulevard #04-101/102 Marina Square Singapore 039594              </v>
      </c>
      <c r="G11" s="481"/>
      <c r="H11" s="482"/>
      <c r="J11" s="26" t="s">
        <v>9</v>
      </c>
      <c r="K11" s="504" t="s">
        <v>573</v>
      </c>
      <c r="L11" s="464"/>
    </row>
    <row r="12" spans="2:12" ht="20.149999999999999" customHeight="1" x14ac:dyDescent="0.45">
      <c r="B12" s="488" t="s">
        <v>336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337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372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302</v>
      </c>
      <c r="D18" s="461" t="e">
        <f>VLOOKUP(C18,'Sales Master'!B$3:D$530,2,)</f>
        <v>#N/A</v>
      </c>
      <c r="E18" s="461"/>
      <c r="F18" s="461"/>
      <c r="G18" s="17">
        <v>3</v>
      </c>
      <c r="H18" s="56"/>
      <c r="I18" s="491"/>
      <c r="J18" s="491"/>
      <c r="K18" s="30"/>
      <c r="L18" s="31"/>
    </row>
    <row r="19" spans="2:15" ht="20.149999999999999" customHeight="1" x14ac:dyDescent="0.45">
      <c r="B19" s="29"/>
      <c r="C19" s="17" t="s">
        <v>304</v>
      </c>
      <c r="D19" s="461" t="e">
        <f>VLOOKUP(C19,'Sales Master'!B$3:D$530,2,)</f>
        <v>#N/A</v>
      </c>
      <c r="E19" s="461"/>
      <c r="F19" s="461"/>
      <c r="G19" s="17">
        <v>3</v>
      </c>
      <c r="H19" s="56"/>
      <c r="I19" s="491"/>
      <c r="J19" s="491"/>
      <c r="K19" s="30"/>
      <c r="L19" s="31"/>
    </row>
    <row r="20" spans="2:15" ht="20.149999999999999" customHeight="1" x14ac:dyDescent="0.45">
      <c r="B20" s="29"/>
      <c r="C20" s="17" t="s">
        <v>305</v>
      </c>
      <c r="D20" s="461" t="e">
        <f>VLOOKUP(C20,'Sales Master'!B$3:D$530,2,)</f>
        <v>#N/A</v>
      </c>
      <c r="E20" s="461"/>
      <c r="F20" s="461"/>
      <c r="G20" s="17">
        <v>1</v>
      </c>
      <c r="H20" s="56"/>
      <c r="I20" s="491"/>
      <c r="J20" s="491"/>
      <c r="K20" s="30"/>
      <c r="L20" s="31"/>
    </row>
    <row r="21" spans="2:15" ht="20.149999999999999" customHeight="1" x14ac:dyDescent="0.45">
      <c r="B21" s="29"/>
      <c r="C21" s="17" t="s">
        <v>568</v>
      </c>
      <c r="D21" s="461" t="e">
        <f>VLOOKUP(C21,'Sales Master'!B$3:D$530,2,)</f>
        <v>#N/A</v>
      </c>
      <c r="E21" s="461"/>
      <c r="F21" s="461"/>
      <c r="G21" s="17">
        <v>2</v>
      </c>
      <c r="H21" s="56"/>
      <c r="I21" s="491"/>
      <c r="J21" s="491"/>
      <c r="K21" s="30"/>
      <c r="L21" s="31"/>
    </row>
    <row r="22" spans="2:15" ht="20.149999999999999" customHeight="1" x14ac:dyDescent="0.45">
      <c r="B22" s="29"/>
      <c r="C22" s="17" t="s">
        <v>320</v>
      </c>
      <c r="D22" s="461" t="e">
        <f>VLOOKUP(C22,'Sales Master'!B$3:D$530,2,)</f>
        <v>#N/A</v>
      </c>
      <c r="E22" s="461"/>
      <c r="F22" s="461"/>
      <c r="G22" s="17">
        <v>3</v>
      </c>
      <c r="H22" s="56"/>
      <c r="I22" s="491"/>
      <c r="J22" s="491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73"/>
      <c r="J23" s="473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73"/>
      <c r="J24" s="473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73"/>
      <c r="J25" s="473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73"/>
      <c r="J26" s="473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73"/>
      <c r="J27" s="473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73"/>
      <c r="J28" s="473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73"/>
      <c r="J29" s="473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17"/>
      <c r="J30" s="17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D33" s="461"/>
      <c r="E33" s="461"/>
      <c r="F33" s="461"/>
      <c r="G33" s="17"/>
      <c r="H33" s="56"/>
      <c r="I33" s="56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17"/>
      <c r="I35" s="17"/>
      <c r="J35" s="17"/>
      <c r="K35" s="30"/>
      <c r="L35" s="31"/>
    </row>
    <row r="36" spans="2:12" ht="20.149999999999999" customHeight="1" thickBot="1" x14ac:dyDescent="0.5">
      <c r="B36" s="32"/>
      <c r="C36" s="33"/>
      <c r="D36" s="490"/>
      <c r="E36" s="490"/>
      <c r="F36" s="490"/>
      <c r="G36" s="33"/>
      <c r="H36" s="33"/>
      <c r="I36" s="33"/>
      <c r="J36" s="33"/>
      <c r="K36" s="34"/>
      <c r="L36" s="35"/>
    </row>
    <row r="37" spans="2:12" ht="20.149999999999999" customHeight="1" thickBot="1" x14ac:dyDescent="0.5">
      <c r="B37" s="36"/>
      <c r="L37" s="37"/>
    </row>
    <row r="38" spans="2:1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55" t="s">
        <v>13</v>
      </c>
      <c r="K38" s="456"/>
      <c r="L38" s="38">
        <f>SUM(L16:L36)</f>
        <v>0</v>
      </c>
    </row>
    <row r="39" spans="2:1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57" t="s">
        <v>19</v>
      </c>
      <c r="K40" s="458"/>
      <c r="L40" s="41">
        <f>L38-L39</f>
        <v>0</v>
      </c>
    </row>
    <row r="41" spans="2:1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0</v>
      </c>
    </row>
    <row r="42" spans="2:12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59" t="s">
        <v>21</v>
      </c>
      <c r="K42" s="460"/>
      <c r="L42" s="43">
        <f>L40+L41</f>
        <v>0</v>
      </c>
    </row>
    <row r="43" spans="2:1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2" ht="20.149999999999999" customHeight="1" x14ac:dyDescent="0.45">
      <c r="B44" s="3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3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I22:J22"/>
    <mergeCell ref="D19:F19"/>
    <mergeCell ref="I19:J19"/>
    <mergeCell ref="D21:F21"/>
    <mergeCell ref="D22:F22"/>
    <mergeCell ref="J42:K42"/>
    <mergeCell ref="D33:F33"/>
    <mergeCell ref="D34:F34"/>
    <mergeCell ref="D35:F35"/>
    <mergeCell ref="D36:F36"/>
    <mergeCell ref="J38:K38"/>
    <mergeCell ref="J40:K40"/>
    <mergeCell ref="I29:J29"/>
    <mergeCell ref="I21:J21"/>
    <mergeCell ref="I24:J24"/>
    <mergeCell ref="I25:J25"/>
    <mergeCell ref="I26:J26"/>
    <mergeCell ref="I27:J27"/>
    <mergeCell ref="I28:J28"/>
    <mergeCell ref="I23:J23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49132-5F9E-4245-8730-6F2CBFAE8F61}">
  <sheetPr>
    <tabColor rgb="FF7030A0"/>
    <pageSetUpPr fitToPage="1"/>
  </sheetPr>
  <dimension ref="B1:P43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475</v>
      </c>
      <c r="J10" s="24" t="s">
        <v>27</v>
      </c>
      <c r="K10" s="493">
        <v>202411145</v>
      </c>
      <c r="L10" s="494"/>
    </row>
    <row r="11" spans="2:12" ht="20.149999999999999" customHeight="1" x14ac:dyDescent="0.45">
      <c r="B11" s="477" t="s">
        <v>2236</v>
      </c>
      <c r="C11" s="478"/>
      <c r="D11" s="479"/>
      <c r="E11" s="25"/>
      <c r="F11" s="480" t="str">
        <f>VLOOKUP(H10,'Delivery Location'!A$4:N$460,2,0)</f>
        <v>Fine Food @ NUS                                      1 Create Way #01-04. NUS University Town, Singapore 138602</v>
      </c>
      <c r="G11" s="481"/>
      <c r="H11" s="482"/>
      <c r="J11" s="26" t="s">
        <v>9</v>
      </c>
      <c r="K11" s="495">
        <v>45602</v>
      </c>
      <c r="L11" s="496"/>
    </row>
    <row r="12" spans="2:12" ht="20.149999999999999" customHeight="1" x14ac:dyDescent="0.45">
      <c r="B12" s="488" t="s">
        <v>374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 t="s">
        <v>375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376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65" t="s">
        <v>377</v>
      </c>
      <c r="C15" s="566"/>
      <c r="D15" s="567"/>
      <c r="E15" s="21"/>
      <c r="F15" s="465"/>
      <c r="G15" s="466"/>
      <c r="H15" s="467"/>
      <c r="J15" s="27" t="s">
        <v>11</v>
      </c>
      <c r="K15" s="468" t="s">
        <v>1477</v>
      </c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2201</v>
      </c>
      <c r="D18" s="461" t="str">
        <f>VLOOKUP(C18,'Sales Master'!B$3:D$530,2,)</f>
        <v>Coconut Sugar Syrup 椰糖浆</v>
      </c>
      <c r="E18" s="461"/>
      <c r="F18" s="461"/>
      <c r="G18" s="76">
        <v>6</v>
      </c>
      <c r="H18" s="186" t="str">
        <f>VLOOKUP(C18,'Sales Master'!$B$3:$F$2481,5,0)</f>
        <v>GW: 5 KG/ Btl支</v>
      </c>
      <c r="I18" s="516" t="str">
        <f>VLOOKUP(C18,'Sales Master'!$B$3:$E$2481,4,0)</f>
        <v>DO!</v>
      </c>
      <c r="J18" s="516"/>
      <c r="K18" s="80">
        <f>VLOOKUP(C18,'Sales Master'!B$3:Q$2294,16,0)</f>
        <v>20</v>
      </c>
      <c r="L18" s="64">
        <f>K18*G18</f>
        <v>120</v>
      </c>
      <c r="M18" s="65"/>
      <c r="N18" s="145">
        <f>VLOOKUP(C18,'Sales Master'!$B$3:$DA$2272,104,0)</f>
        <v>8.89</v>
      </c>
      <c r="O18" s="145">
        <f>K18-N18</f>
        <v>11.11</v>
      </c>
      <c r="P18" s="145">
        <f>O18*G18</f>
        <v>66.66</v>
      </c>
    </row>
    <row r="19" spans="2:16" ht="20.149999999999999" customHeight="1" x14ac:dyDescent="0.45">
      <c r="B19" s="29"/>
      <c r="C19" s="212"/>
      <c r="D19" s="461"/>
      <c r="E19" s="461"/>
      <c r="F19" s="461"/>
      <c r="G19" s="76"/>
      <c r="H19" s="186"/>
      <c r="I19" s="516"/>
      <c r="J19" s="516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6"/>
      <c r="I20" s="516"/>
      <c r="J20" s="516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80"/>
      <c r="L21" s="64"/>
      <c r="M21" s="65"/>
    </row>
    <row r="22" spans="2:16" ht="20.149999999999999" customHeight="1" x14ac:dyDescent="0.45">
      <c r="B22" s="29"/>
      <c r="C22" s="195"/>
      <c r="D22" s="568"/>
      <c r="E22" s="568"/>
      <c r="F22" s="568"/>
      <c r="G22" s="76"/>
      <c r="H22" s="82"/>
      <c r="I22" s="446"/>
      <c r="J22" s="446"/>
      <c r="K22" s="205"/>
      <c r="L22" s="64"/>
      <c r="M22" s="65"/>
    </row>
    <row r="23" spans="2:16" ht="20.149999999999999" customHeight="1" x14ac:dyDescent="0.45">
      <c r="B23" s="29"/>
      <c r="C23" s="206"/>
      <c r="D23" s="65"/>
      <c r="E23" s="65"/>
      <c r="F23" s="65"/>
      <c r="G23" s="65"/>
      <c r="H23" s="196"/>
      <c r="I23" s="196"/>
      <c r="J23" s="196"/>
      <c r="K23" s="207"/>
      <c r="L23" s="64"/>
      <c r="M23" s="65"/>
    </row>
    <row r="24" spans="2:16" ht="20.149999999999999" customHeight="1" x14ac:dyDescent="0.45">
      <c r="B24" s="29"/>
      <c r="C24" s="18" t="s">
        <v>1244</v>
      </c>
      <c r="D24" s="461"/>
      <c r="E24" s="461"/>
      <c r="F24" s="461"/>
      <c r="G24" s="76"/>
      <c r="H24" s="56"/>
      <c r="I24" s="491"/>
      <c r="J24" s="491"/>
      <c r="K24" s="80"/>
      <c r="L24" s="64"/>
      <c r="M24" s="65"/>
    </row>
    <row r="25" spans="2:16" ht="20.149999999999999" customHeight="1" x14ac:dyDescent="0.45">
      <c r="B25" s="29"/>
      <c r="C25" s="147" t="s">
        <v>1383</v>
      </c>
      <c r="G25" s="76"/>
      <c r="H25" s="56"/>
      <c r="I25" s="85"/>
      <c r="J25" s="85"/>
      <c r="K25" s="80"/>
      <c r="L25" s="64"/>
      <c r="M25" s="65"/>
    </row>
    <row r="26" spans="2:16" ht="20.149999999999999" customHeight="1" x14ac:dyDescent="0.45">
      <c r="B26" s="29"/>
      <c r="C26" s="147" t="s">
        <v>1330</v>
      </c>
      <c r="G26" s="76"/>
      <c r="H26" s="56"/>
      <c r="I26" s="85"/>
      <c r="J26" s="85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91"/>
      <c r="J28" s="491"/>
      <c r="K28" s="80"/>
      <c r="L28" s="64"/>
    </row>
    <row r="29" spans="2:16" ht="20.149999999999999" customHeight="1" thickBot="1" x14ac:dyDescent="0.5">
      <c r="B29" s="32"/>
      <c r="C29" s="33"/>
      <c r="D29" s="490"/>
      <c r="E29" s="490"/>
      <c r="F29" s="490"/>
      <c r="G29" s="33"/>
      <c r="H29" s="57"/>
      <c r="I29" s="474"/>
      <c r="J29" s="474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SUM(L17:L30)</f>
        <v>120</v>
      </c>
      <c r="M31" s="63">
        <f>SUM(P18:P30)</f>
        <v>66.66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120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10.799999999999999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130.80000000000001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EFF11EFC-7C9B-4697-A7FF-5CB63B9597ED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4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17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480</v>
      </c>
      <c r="J10" s="24" t="s">
        <v>27</v>
      </c>
      <c r="K10" s="493">
        <v>202501099</v>
      </c>
      <c r="L10" s="494"/>
      <c r="N10" s="19" t="s">
        <v>892</v>
      </c>
    </row>
    <row r="11" spans="2:14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-喜多福                                                 Blk 267 Compassvale Link                           #01-02 Singapore 540267</v>
      </c>
      <c r="G11" s="481"/>
      <c r="H11" s="482"/>
      <c r="J11" s="26" t="s">
        <v>9</v>
      </c>
      <c r="K11" s="495">
        <v>45661</v>
      </c>
      <c r="L11" s="496"/>
    </row>
    <row r="12" spans="2:14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4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4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4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815</v>
      </c>
      <c r="D18" s="461" t="str">
        <f>VLOOKUP(C18,'Sales Master'!B$3:D$530,2,)</f>
        <v>Potato Starch 风车粉</v>
      </c>
      <c r="E18" s="461"/>
      <c r="F18" s="461"/>
      <c r="G18" s="17">
        <v>2</v>
      </c>
      <c r="H18" s="186" t="str">
        <f>VLOOKUP(C18,'Sales Master'!B$3:F$2417,5,0)</f>
        <v>5 KG</v>
      </c>
      <c r="I18" s="497" t="str">
        <f>VLOOKUP(C18,'Sales Master'!B$3:E$2417,4,0)</f>
        <v>RE-PACK</v>
      </c>
      <c r="J18" s="497"/>
      <c r="K18" s="30">
        <f>VLOOKUP(C18,'Sales Master'!B$3:BC$530,54,0)</f>
        <v>13</v>
      </c>
      <c r="L18" s="64">
        <f t="shared" ref="L18" si="0">K18*G18</f>
        <v>26</v>
      </c>
      <c r="M18" s="65"/>
      <c r="N18" s="145">
        <f>VLOOKUP(C18,'Sales Master'!$B$3:$DA$2272,104,0)</f>
        <v>8</v>
      </c>
      <c r="O18" s="145">
        <f t="shared" ref="O18" si="1">K18-N18</f>
        <v>5</v>
      </c>
      <c r="P18" s="145">
        <f t="shared" ref="P18" si="2">O18*G18</f>
        <v>10</v>
      </c>
    </row>
    <row r="19" spans="2:16" ht="20.149999999999999" customHeight="1" x14ac:dyDescent="0.45">
      <c r="B19" s="29"/>
      <c r="C19" s="212" t="s">
        <v>849</v>
      </c>
      <c r="D19" s="461" t="str">
        <f>VLOOKUP(C19,'Sales Master'!B$3:D$530,2,)</f>
        <v>Green Bean 绿豆</v>
      </c>
      <c r="E19" s="461"/>
      <c r="F19" s="461"/>
      <c r="G19" s="17">
        <v>2</v>
      </c>
      <c r="H19" s="186" t="str">
        <f>VLOOKUP(C19,'Sales Master'!B$3:F$2417,5,0)</f>
        <v>5 KG</v>
      </c>
      <c r="I19" s="497" t="str">
        <f>VLOOKUP(C19,'Sales Master'!B$3:E$2417,4,0)</f>
        <v>-</v>
      </c>
      <c r="J19" s="497"/>
      <c r="K19" s="30">
        <f>VLOOKUP(C19,'Sales Master'!B$3:BC$530,54,0)</f>
        <v>13</v>
      </c>
      <c r="L19" s="64">
        <f>K19*G19</f>
        <v>26</v>
      </c>
      <c r="M19" s="65"/>
      <c r="N19" s="145">
        <f>VLOOKUP(C19,'Sales Master'!$B$3:$DA$2272,104,0)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212" t="s">
        <v>861</v>
      </c>
      <c r="D20" s="461" t="str">
        <f>VLOOKUP(C20,'Sales Master'!B$3:D$530,2,)</f>
        <v>Black Glutinous Rice 黑糯米</v>
      </c>
      <c r="E20" s="461"/>
      <c r="F20" s="461"/>
      <c r="G20" s="17">
        <v>1</v>
      </c>
      <c r="H20" s="188" t="str">
        <f>VLOOKUP(C20,'Sales Master'!B$3:F$2417,5,0)</f>
        <v>5 KGS</v>
      </c>
      <c r="I20" s="497" t="str">
        <f>VLOOKUP(C20,'Sales Master'!B$3:E$2417,4,0)</f>
        <v>-</v>
      </c>
      <c r="J20" s="497"/>
      <c r="K20" s="30">
        <f>VLOOKUP(C20,'Sales Master'!B$3:BC$530,54,0)</f>
        <v>18</v>
      </c>
      <c r="L20" s="64">
        <f>K20*G20</f>
        <v>18</v>
      </c>
      <c r="M20" s="65"/>
      <c r="N20" s="145">
        <f>VLOOKUP(C20,'Sales Master'!$B$3:$DA$2272,104,0)</f>
        <v>12</v>
      </c>
      <c r="O20" s="145">
        <f t="shared" ref="O20" si="3">K20-N20</f>
        <v>6</v>
      </c>
      <c r="P20" s="145">
        <f t="shared" ref="P20" si="4">O20*G20</f>
        <v>6</v>
      </c>
    </row>
    <row r="21" spans="2:16" ht="20.149999999999999" customHeight="1" x14ac:dyDescent="0.45">
      <c r="B21" s="29"/>
      <c r="C21" s="212" t="s">
        <v>870</v>
      </c>
      <c r="D21" s="461" t="str">
        <f>VLOOKUP(C21,'Sales Master'!B$3:D$530,2,)</f>
        <v>Pearl Barley 薏米</v>
      </c>
      <c r="E21" s="461"/>
      <c r="F21" s="461"/>
      <c r="G21" s="17">
        <v>1</v>
      </c>
      <c r="H21" s="186" t="str">
        <f>VLOOKUP(C21,'Sales Master'!B$3:F$2417,5,0)</f>
        <v>5 KG</v>
      </c>
      <c r="I21" s="497" t="str">
        <f>VLOOKUP(C21,'Sales Master'!B$3:E$2417,4,0)</f>
        <v>-</v>
      </c>
      <c r="J21" s="497"/>
      <c r="K21" s="30">
        <f>VLOOKUP(C21,'Sales Master'!B$3:BC$530,54,0)</f>
        <v>10</v>
      </c>
      <c r="L21" s="64">
        <f t="shared" ref="L21" si="5">K21*G21</f>
        <v>10</v>
      </c>
      <c r="M21" s="65"/>
      <c r="N21" s="145">
        <f>VLOOKUP(C21,'Sales Master'!$B$3:$DA$2272,104,0)</f>
        <v>7.6</v>
      </c>
      <c r="O21" s="145">
        <f>K21-N21</f>
        <v>2.4000000000000004</v>
      </c>
      <c r="P21" s="145">
        <f>O21*G21</f>
        <v>2.4000000000000004</v>
      </c>
    </row>
    <row r="22" spans="2:16" ht="20.149999999999999" customHeight="1" x14ac:dyDescent="0.45">
      <c r="B22" s="29"/>
      <c r="C22" s="212" t="s">
        <v>883</v>
      </c>
      <c r="D22" s="461" t="str">
        <f>VLOOKUP(C22,'Sales Master'!B$3:D$530,2,)</f>
        <v>Dried Longan 龙眼干</v>
      </c>
      <c r="E22" s="461"/>
      <c r="F22" s="461"/>
      <c r="G22" s="17">
        <v>2</v>
      </c>
      <c r="H22" s="186" t="str">
        <f>VLOOKUP(C22,'Sales Master'!B$3:F$2417,5,0)</f>
        <v>1 kg</v>
      </c>
      <c r="I22" s="497" t="str">
        <f>VLOOKUP(C22,'Sales Master'!B$3:E$2417,4,0)</f>
        <v>中</v>
      </c>
      <c r="J22" s="497"/>
      <c r="K22" s="30">
        <f>VLOOKUP(C22,'Sales Master'!B$3:BC$530,54,0)</f>
        <v>12</v>
      </c>
      <c r="L22" s="64">
        <f>K22*G22</f>
        <v>24</v>
      </c>
      <c r="M22" s="65"/>
      <c r="N22" s="145">
        <f>VLOOKUP(C22,'Sales Master'!$B$3:$DA$2272,104,0)</f>
        <v>9.6999999999999993</v>
      </c>
      <c r="O22" s="145">
        <f>K22-N22</f>
        <v>2.3000000000000007</v>
      </c>
      <c r="P22" s="145">
        <f>O22*G22</f>
        <v>4.6000000000000014</v>
      </c>
    </row>
    <row r="23" spans="2:16" ht="20.149999999999999" customHeight="1" x14ac:dyDescent="0.45">
      <c r="B23" s="29"/>
      <c r="C23" s="212" t="s">
        <v>892</v>
      </c>
      <c r="D23" s="461" t="str">
        <f>VLOOKUP(C23,'Sales Master'!B$3:D$530,2,)</f>
        <v>Chrysanthemum 菊花</v>
      </c>
      <c r="E23" s="461"/>
      <c r="F23" s="461"/>
      <c r="G23" s="17">
        <v>3</v>
      </c>
      <c r="H23" s="186" t="str">
        <f>VLOOKUP(C23,'Sales Master'!B$3:F$2417,5,0)</f>
        <v>100gm x 10PKT/Bag</v>
      </c>
      <c r="I23" s="497" t="str">
        <f>VLOOKUP(C23,'Sales Master'!B$3:E$2417,4,0)</f>
        <v>-</v>
      </c>
      <c r="J23" s="497"/>
      <c r="K23" s="30">
        <f>VLOOKUP(C23,'Sales Master'!B$3:BC$530,54,0)</f>
        <v>20</v>
      </c>
      <c r="L23" s="64">
        <f>K23*G23</f>
        <v>60</v>
      </c>
      <c r="M23" s="65"/>
      <c r="N23" s="145">
        <f>VLOOKUP(C23,'Sales Master'!$B$3:$DA$2272,104,0)</f>
        <v>16</v>
      </c>
      <c r="O23" s="145">
        <f>K23-N23</f>
        <v>4</v>
      </c>
      <c r="P23" s="145">
        <f>O23*G23</f>
        <v>12</v>
      </c>
    </row>
    <row r="24" spans="2:16" ht="20.149999999999999" customHeight="1" x14ac:dyDescent="0.45">
      <c r="B24" s="29"/>
      <c r="C24" s="212" t="s">
        <v>990</v>
      </c>
      <c r="D24" s="461" t="str">
        <f>VLOOKUP(C24,'Sales Master'!B$3:D$530,2,)</f>
        <v>Coconut Milk 椰浆</v>
      </c>
      <c r="E24" s="461"/>
      <c r="F24" s="461"/>
      <c r="G24" s="17">
        <v>2</v>
      </c>
      <c r="H24" s="186" t="str">
        <f>VLOOKUP(C24,'Sales Master'!B$3:F$2417,5,0)</f>
        <v>(1L x 12bag)/箱</v>
      </c>
      <c r="I24" s="497" t="str">
        <f>VLOOKUP(C24,'Sales Master'!B$3:E$2417,4,0)</f>
        <v>Kara UHT</v>
      </c>
      <c r="J24" s="497"/>
      <c r="K24" s="30">
        <f>VLOOKUP(C24,'Sales Master'!B$3:BC$530,54,0)</f>
        <v>42</v>
      </c>
      <c r="L24" s="64">
        <f>K24*G24</f>
        <v>84</v>
      </c>
      <c r="M24" s="65"/>
      <c r="N24" s="145">
        <f>VLOOKUP(C24,'Sales Master'!$B$3:$DA$2272,104,0)</f>
        <v>35.799999999999997</v>
      </c>
      <c r="O24" s="145">
        <f>K24-N24</f>
        <v>6.2000000000000028</v>
      </c>
      <c r="P24" s="145">
        <f>O24*G24</f>
        <v>12.400000000000006</v>
      </c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8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G28" s="17"/>
      <c r="H28" s="186"/>
      <c r="I28" s="208"/>
      <c r="J28" s="20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56"/>
      <c r="I29" s="491"/>
      <c r="J29" s="491"/>
      <c r="K29" s="30"/>
      <c r="L29" s="64"/>
      <c r="M29" s="65"/>
      <c r="N29" s="93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57"/>
      <c r="I30" s="474"/>
      <c r="J30" s="474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SUM(L17:L30)</f>
        <v>248</v>
      </c>
      <c r="M32" s="63">
        <f>SUM(P18:P30)-L32*0.02</f>
        <v>50.940000000000005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248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22.32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270.32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D22:F22"/>
    <mergeCell ref="I24:J24"/>
    <mergeCell ref="I22:J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26:J26"/>
    <mergeCell ref="I23:J23"/>
    <mergeCell ref="D20:F20"/>
    <mergeCell ref="D26:F26"/>
    <mergeCell ref="D19:F19"/>
    <mergeCell ref="D23:F23"/>
    <mergeCell ref="D21:F21"/>
    <mergeCell ref="D18:F18"/>
    <mergeCell ref="I18:J18"/>
    <mergeCell ref="I19:J19"/>
    <mergeCell ref="I20:J20"/>
    <mergeCell ref="I21:J21"/>
    <mergeCell ref="D24:F24"/>
    <mergeCell ref="D25:F25"/>
    <mergeCell ref="I25:J25"/>
    <mergeCell ref="J34:K34"/>
    <mergeCell ref="J36:K36"/>
    <mergeCell ref="D30:F30"/>
    <mergeCell ref="I30:J30"/>
    <mergeCell ref="I29:J29"/>
    <mergeCell ref="J32:K32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504</v>
      </c>
      <c r="J10" s="24" t="s">
        <v>27</v>
      </c>
      <c r="K10" s="493">
        <v>202112469</v>
      </c>
      <c r="L10" s="494"/>
    </row>
    <row r="11" spans="2:12" ht="20.149999999999999" customHeight="1" x14ac:dyDescent="0.45">
      <c r="B11" s="477" t="s">
        <v>1170</v>
      </c>
      <c r="C11" s="478"/>
      <c r="D11" s="479"/>
      <c r="E11" s="25"/>
      <c r="F11" s="480" t="str">
        <f>VLOOKUP(H10,'Delivery Location'!A$4:N$460,2,0)</f>
        <v xml:space="preserve">Koufu - WoodGrove                                30, Woodlands Ave 1 #01-11 Singapore 739065     (Drink)                               </v>
      </c>
      <c r="G11" s="481"/>
      <c r="H11" s="482"/>
      <c r="J11" s="26" t="s">
        <v>9</v>
      </c>
      <c r="K11" s="504" t="s">
        <v>1183</v>
      </c>
      <c r="L11" s="464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953</v>
      </c>
      <c r="D18" s="461" t="str">
        <f>VLOOKUP(C18,'Sales Master'!B$3:D$530,2,)</f>
        <v>Aloe Vera 芦荟 10mm</v>
      </c>
      <c r="E18" s="461"/>
      <c r="F18" s="461"/>
      <c r="G18" s="76">
        <v>6</v>
      </c>
      <c r="H18" s="56" t="str">
        <f>VLOOKUP(C18,'Sales Master'!$B$3:$F$2481,5,0)</f>
        <v>1 Can X A10</v>
      </c>
      <c r="I18" s="491" t="str">
        <f>VLOOKUP(C18,'Sales Master'!$B$3:$E$2481,4,0)</f>
        <v>Chefs</v>
      </c>
      <c r="J18" s="491"/>
      <c r="K18" s="30">
        <f>VLOOKUP(C18,'Sales Master'!B$3:J$530,9,0)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870</v>
      </c>
      <c r="D19" s="461" t="str">
        <f>VLOOKUP(C19,'Sales Master'!B$3:D$530,2,)</f>
        <v>Pearl Barley 薏米</v>
      </c>
      <c r="E19" s="461"/>
      <c r="F19" s="461"/>
      <c r="G19" s="76">
        <v>1</v>
      </c>
      <c r="H19" s="56" t="str">
        <f>VLOOKUP(C19,'Sales Master'!$B$3:$F$2481,5,0)</f>
        <v>5 KG</v>
      </c>
      <c r="I19" s="491" t="str">
        <f>VLOOKUP(C19,'Sales Master'!$B$3:$E$2481,4,0)</f>
        <v>-</v>
      </c>
      <c r="J19" s="491"/>
      <c r="K19" s="30">
        <f>VLOOKUP(C19,'Sales Master'!B$3:J$530,9,0)</f>
        <v>10</v>
      </c>
      <c r="L19" s="64">
        <f>K19*G19</f>
        <v>10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31"/>
    </row>
    <row r="28" spans="2:15" ht="20.149999999999999" customHeight="1" thickBot="1" x14ac:dyDescent="0.5">
      <c r="B28" s="32"/>
      <c r="C28" s="33"/>
      <c r="D28" s="490"/>
      <c r="E28" s="490"/>
      <c r="F28" s="490"/>
      <c r="G28" s="33"/>
      <c r="H28" s="57"/>
      <c r="I28" s="474"/>
      <c r="J28" s="474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55" t="s">
        <v>13</v>
      </c>
      <c r="K30" s="456"/>
      <c r="L30" s="38">
        <f>SUM(L17:L28)</f>
        <v>70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57" t="s">
        <v>19</v>
      </c>
      <c r="K32" s="458"/>
      <c r="L32" s="41">
        <f>L30-L31</f>
        <v>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59" t="s">
        <v>21</v>
      </c>
      <c r="K34" s="460"/>
      <c r="L34" s="43">
        <f>L32+L33</f>
        <v>76.3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topLeftCell="A3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507</v>
      </c>
      <c r="J10" s="24" t="s">
        <v>27</v>
      </c>
      <c r="K10" s="493">
        <v>202109110</v>
      </c>
      <c r="L10" s="494"/>
    </row>
    <row r="11" spans="2:12" ht="20.149999999999999" customHeight="1" x14ac:dyDescent="0.45">
      <c r="B11" s="477" t="s">
        <v>335</v>
      </c>
      <c r="C11" s="478"/>
      <c r="D11" s="479"/>
      <c r="E11" s="25"/>
      <c r="F11" s="480" t="str">
        <f>VLOOKUP(H10,'Delivery Location'!A$4:N$460,2,0)</f>
        <v xml:space="preserve">Koufu - WoodGrove                                30, Woodlands Ave 1 #01-11 Singapore 739065     (Dim Sum)                               </v>
      </c>
      <c r="G11" s="481"/>
      <c r="H11" s="482"/>
      <c r="J11" s="26" t="s">
        <v>9</v>
      </c>
      <c r="K11" s="504">
        <v>44446</v>
      </c>
      <c r="L11" s="464"/>
    </row>
    <row r="12" spans="2:12" ht="20.149999999999999" customHeight="1" x14ac:dyDescent="0.45">
      <c r="B12" s="488" t="s">
        <v>336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337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372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"/>
      <c r="C15" s="51"/>
      <c r="D15" s="52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990</v>
      </c>
      <c r="D18" s="461" t="str">
        <f>VLOOKUP(C18,'Sales Master'!B$3:D$530,2,)</f>
        <v>Coconut Milk 椰浆</v>
      </c>
      <c r="E18" s="461"/>
      <c r="F18" s="461"/>
      <c r="G18" s="17">
        <v>1</v>
      </c>
      <c r="H18" s="56" t="str">
        <f>VLOOKUP(C18,'Sales Master'!$B$3:$E$530,4,0)</f>
        <v>Kara UHT</v>
      </c>
      <c r="I18" s="473" t="str">
        <f>VLOOKUP(C18,'Sales Master'!$B$3:F$530,5,0)</f>
        <v>(1L x 12bag)/箱</v>
      </c>
      <c r="J18" s="473"/>
      <c r="K18" s="30">
        <f>VLOOKUP(C18,'Sales Master'!B$3:J$530,9,0)</f>
        <v>42</v>
      </c>
      <c r="L18" s="64">
        <f>K18*G18</f>
        <v>42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73"/>
      <c r="J19" s="473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73"/>
      <c r="J20" s="473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73"/>
      <c r="J21" s="473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73"/>
      <c r="J22" s="473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73"/>
      <c r="J23" s="473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73"/>
      <c r="J24" s="473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73"/>
      <c r="J25" s="473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73"/>
      <c r="J26" s="473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73"/>
      <c r="J27" s="473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73"/>
      <c r="J28" s="473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73"/>
      <c r="J29" s="473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73"/>
      <c r="J30" s="473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73"/>
      <c r="J31" s="473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73"/>
      <c r="J32" s="473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73"/>
      <c r="J33" s="473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73"/>
      <c r="J34" s="473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73"/>
      <c r="J35" s="473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73"/>
      <c r="J36" s="473"/>
      <c r="K36" s="30"/>
      <c r="L36" s="31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>
        <f>SUM(L17:L37)</f>
        <v>42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>
        <f>L39-L40</f>
        <v>42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3.78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>
        <f>L41+L42</f>
        <v>45.78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3:K43"/>
    <mergeCell ref="D35:F35"/>
    <mergeCell ref="I35:J35"/>
    <mergeCell ref="D36:F36"/>
    <mergeCell ref="I36:J36"/>
    <mergeCell ref="D37:F37"/>
    <mergeCell ref="I37:J37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53"/>
  <sheetViews>
    <sheetView topLeftCell="B3" zoomScaleNormal="100" workbookViewId="0">
      <selection activeCell="C50" sqref="C50:J5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4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4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4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4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4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4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4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4" ht="19" thickBot="1" x14ac:dyDescent="0.5">
      <c r="B9" s="18"/>
      <c r="N9" s="19" t="s">
        <v>505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506</v>
      </c>
      <c r="J10" s="68" t="s">
        <v>27</v>
      </c>
      <c r="K10" s="493">
        <v>202404600</v>
      </c>
      <c r="L10" s="494"/>
    </row>
    <row r="11" spans="2:14" ht="20.149999999999999" customHeight="1" x14ac:dyDescent="0.45">
      <c r="B11" s="477" t="s">
        <v>509</v>
      </c>
      <c r="C11" s="478"/>
      <c r="D11" s="479"/>
      <c r="E11" s="25"/>
      <c r="F11" s="480" t="str">
        <f>VLOOKUP(H10,'Delivery Location'!A$4:N$460,2,0)</f>
        <v>Asia Dessert Marketing                                       Blk 3020, Ubi Avenue 2 #02-125 Singapore 408896</v>
      </c>
      <c r="G11" s="481"/>
      <c r="H11" s="482"/>
      <c r="J11" s="69" t="s">
        <v>9</v>
      </c>
      <c r="K11" s="495">
        <v>45406</v>
      </c>
      <c r="L11" s="496"/>
      <c r="N11" s="353" t="s">
        <v>1940</v>
      </c>
    </row>
    <row r="12" spans="2:14" ht="20.149999999999999" customHeight="1" x14ac:dyDescent="0.45">
      <c r="B12" s="488" t="s">
        <v>510</v>
      </c>
      <c r="C12" s="449"/>
      <c r="D12" s="489"/>
      <c r="E12" s="25"/>
      <c r="F12" s="483"/>
      <c r="G12" s="484"/>
      <c r="H12" s="485"/>
      <c r="J12" s="69" t="s">
        <v>145</v>
      </c>
      <c r="K12" s="463" t="s">
        <v>350</v>
      </c>
      <c r="L12" s="464"/>
    </row>
    <row r="13" spans="2:14" ht="20.149999999999999" customHeight="1" x14ac:dyDescent="0.45">
      <c r="B13" s="488"/>
      <c r="C13" s="449"/>
      <c r="D13" s="489"/>
      <c r="E13" s="25"/>
      <c r="F13" s="483"/>
      <c r="G13" s="484"/>
      <c r="H13" s="485"/>
      <c r="J13" s="69" t="s">
        <v>10</v>
      </c>
      <c r="K13" s="463" t="s">
        <v>442</v>
      </c>
      <c r="L13" s="464"/>
    </row>
    <row r="14" spans="2:14" ht="20.149999999999999" customHeight="1" x14ac:dyDescent="0.45">
      <c r="B14" s="488"/>
      <c r="C14" s="449"/>
      <c r="D14" s="489"/>
      <c r="E14" s="25"/>
      <c r="F14" s="483"/>
      <c r="G14" s="484"/>
      <c r="H14" s="485"/>
      <c r="J14" s="69" t="s">
        <v>28</v>
      </c>
      <c r="K14" s="463" t="s">
        <v>14</v>
      </c>
      <c r="L14" s="464"/>
    </row>
    <row r="15" spans="2:14" ht="18" customHeight="1" thickBot="1" x14ac:dyDescent="0.5">
      <c r="B15" s="50"/>
      <c r="C15" s="51"/>
      <c r="D15" s="52"/>
      <c r="E15" s="21"/>
      <c r="F15" s="465"/>
      <c r="G15" s="466"/>
      <c r="H15" s="467"/>
      <c r="J15" s="70" t="s">
        <v>11</v>
      </c>
      <c r="K15" s="468"/>
      <c r="L15" s="469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554" t="s">
        <v>406</v>
      </c>
      <c r="J17" s="555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736</v>
      </c>
      <c r="D18" s="498" t="str">
        <f>VLOOKUP(C18,'Sales Master'!B$3:D$530,2,)</f>
        <v>Bobo ChaCha Cubes 摩摩喳喳</v>
      </c>
      <c r="E18" s="498"/>
      <c r="F18" s="498"/>
      <c r="G18" s="76">
        <v>50</v>
      </c>
      <c r="H18" s="208" t="str">
        <f>VLOOKUP(C18,'Sales Master'!$B$3:$E$530,4,0)</f>
        <v>DO!</v>
      </c>
      <c r="I18" s="570" t="str">
        <f>VLOOKUP(C18,'Sales Master'!$B$3:F$530,5,0)</f>
        <v>800 GM/ Bag包</v>
      </c>
      <c r="J18" s="570"/>
      <c r="K18" s="30">
        <f>VLOOKUP(C18,'Sales Master'!B$3:AN$530,39,0)</f>
        <v>5.5</v>
      </c>
      <c r="L18" s="64">
        <f>K18*G18</f>
        <v>275</v>
      </c>
      <c r="M18" s="65"/>
      <c r="N18" s="145">
        <f>VLOOKUP(C18,'Sales Master'!$B$3:$DA$2272,104,0)</f>
        <v>0.89</v>
      </c>
      <c r="O18" s="145">
        <f>K18-N18</f>
        <v>4.6100000000000003</v>
      </c>
      <c r="P18" s="145">
        <f>O18*G18</f>
        <v>230.50000000000003</v>
      </c>
    </row>
    <row r="19" spans="2:16" ht="20.149999999999999" customHeight="1" x14ac:dyDescent="0.45">
      <c r="B19" s="29"/>
      <c r="C19" s="212"/>
      <c r="D19" s="498"/>
      <c r="E19" s="498"/>
      <c r="F19" s="498"/>
      <c r="G19" s="76"/>
      <c r="H19" s="208"/>
      <c r="I19" s="570"/>
      <c r="J19" s="570"/>
      <c r="K19" s="521"/>
      <c r="L19" s="522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 t="s">
        <v>460</v>
      </c>
      <c r="H20" s="56"/>
      <c r="I20" s="523"/>
      <c r="J20" s="523"/>
      <c r="K20" s="30"/>
      <c r="L20" s="64"/>
      <c r="M20" s="65"/>
    </row>
    <row r="21" spans="2:16" ht="20.149999999999999" customHeight="1" x14ac:dyDescent="0.45">
      <c r="B21" s="29"/>
      <c r="C21" s="212"/>
      <c r="D21" s="498"/>
      <c r="E21" s="498"/>
      <c r="F21" s="498"/>
      <c r="G21" s="76"/>
      <c r="H21" s="491"/>
      <c r="I21" s="491"/>
      <c r="J21" s="491"/>
      <c r="K21" s="30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23"/>
      <c r="J28" s="523"/>
      <c r="K28" s="30"/>
      <c r="L28" s="64"/>
      <c r="M28" s="65"/>
    </row>
    <row r="29" spans="2:16" ht="20.149999999999999" customHeight="1" x14ac:dyDescent="0.45">
      <c r="B29" s="66"/>
      <c r="C29" s="571"/>
      <c r="D29" s="571"/>
      <c r="G29" s="76"/>
      <c r="H29" s="56"/>
      <c r="I29" s="523"/>
      <c r="J29" s="523"/>
      <c r="K29" s="99"/>
      <c r="L29" s="64"/>
      <c r="M29" s="65"/>
    </row>
    <row r="30" spans="2:16" ht="20.149999999999999" customHeight="1" x14ac:dyDescent="0.45">
      <c r="B30" s="29"/>
      <c r="C30" s="212"/>
      <c r="D30" s="498"/>
      <c r="E30" s="498"/>
      <c r="F30" s="498"/>
      <c r="G30" s="76"/>
      <c r="H30" s="208"/>
      <c r="I30" s="570"/>
      <c r="J30" s="570"/>
      <c r="K30" s="99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7"/>
      <c r="H31" s="56"/>
      <c r="I31" s="523"/>
      <c r="J31" s="523"/>
      <c r="K31" s="99"/>
      <c r="L31" s="64"/>
      <c r="M31" s="65"/>
    </row>
    <row r="32" spans="2:16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524"/>
      <c r="J32" s="524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 t="s">
        <v>460</v>
      </c>
      <c r="I34" s="72"/>
      <c r="J34" s="455" t="s">
        <v>13</v>
      </c>
      <c r="K34" s="456"/>
      <c r="L34" s="38">
        <f>SUM(L18:L33)</f>
        <v>275</v>
      </c>
      <c r="M34" s="63">
        <f>SUM(P18:P33)</f>
        <v>230.50000000000003</v>
      </c>
      <c r="N34" s="133"/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57" t="s">
        <v>19</v>
      </c>
      <c r="K36" s="458"/>
      <c r="L36" s="41">
        <f>L34-L35</f>
        <v>275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24.75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59" t="s">
        <v>21</v>
      </c>
      <c r="K38" s="460"/>
      <c r="L38" s="43">
        <f>L36+L37</f>
        <v>299.75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G43" s="19" t="s">
        <v>460</v>
      </c>
      <c r="L43" s="37"/>
    </row>
    <row r="44" spans="2:14" ht="20.149999999999999" customHeight="1" x14ac:dyDescent="0.45">
      <c r="B44" s="44"/>
      <c r="C44" s="45"/>
      <c r="D44" s="45"/>
      <c r="J44" s="73"/>
      <c r="K44" s="45"/>
      <c r="L44" s="46"/>
    </row>
    <row r="45" spans="2:14" ht="20.149999999999999" customHeight="1" x14ac:dyDescent="0.45">
      <c r="B45" s="36" t="s">
        <v>25</v>
      </c>
      <c r="J45" s="67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49" spans="3:11" x14ac:dyDescent="0.45">
      <c r="K49" s="30"/>
    </row>
    <row r="50" spans="3:11" x14ac:dyDescent="0.45">
      <c r="C50" s="212" t="s">
        <v>736</v>
      </c>
      <c r="D50" s="498" t="str">
        <f>VLOOKUP(C50,'Sales Master'!B$3:D$530,2,)</f>
        <v>Bobo ChaCha Cubes 摩摩喳喳</v>
      </c>
      <c r="E50" s="498"/>
      <c r="F50" s="498"/>
      <c r="G50" s="76">
        <v>50</v>
      </c>
      <c r="H50" s="491" t="s">
        <v>2007</v>
      </c>
      <c r="I50" s="491"/>
      <c r="J50" s="491"/>
      <c r="K50" s="30"/>
    </row>
    <row r="51" spans="3:11" ht="19" thickBot="1" x14ac:dyDescent="0.5">
      <c r="C51" s="212" t="s">
        <v>736</v>
      </c>
      <c r="D51" s="498" t="str">
        <f>VLOOKUP(C51,'Sales Master'!B$3:D$530,2,)</f>
        <v>Bobo ChaCha Cubes 摩摩喳喳</v>
      </c>
      <c r="E51" s="498"/>
      <c r="F51" s="498"/>
      <c r="G51" s="76">
        <v>50</v>
      </c>
      <c r="H51" s="491"/>
      <c r="I51" s="491"/>
      <c r="J51" s="491"/>
      <c r="K51" s="30"/>
    </row>
    <row r="52" spans="3:11" ht="19.5" thickTop="1" thickBot="1" x14ac:dyDescent="0.5">
      <c r="D52" s="569" t="s">
        <v>1823</v>
      </c>
      <c r="E52" s="569"/>
      <c r="F52" s="569"/>
      <c r="G52" s="264">
        <f>SUM(G50:G51)</f>
        <v>100</v>
      </c>
    </row>
    <row r="53" spans="3:11" ht="19" thickTop="1" x14ac:dyDescent="0.45"/>
  </sheetData>
  <mergeCells count="41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19:F19"/>
    <mergeCell ref="I19:J19"/>
    <mergeCell ref="K19:L19"/>
    <mergeCell ref="I29:J29"/>
    <mergeCell ref="D30:F30"/>
    <mergeCell ref="I30:J30"/>
    <mergeCell ref="C29:D29"/>
    <mergeCell ref="D20:F20"/>
    <mergeCell ref="I20:J20"/>
    <mergeCell ref="D51:F51"/>
    <mergeCell ref="H51:J51"/>
    <mergeCell ref="D52:F52"/>
    <mergeCell ref="H21:J21"/>
    <mergeCell ref="D28:F28"/>
    <mergeCell ref="I28:J28"/>
    <mergeCell ref="D21:F21"/>
    <mergeCell ref="D50:F50"/>
    <mergeCell ref="H50:J50"/>
    <mergeCell ref="J36:K36"/>
    <mergeCell ref="J38:K38"/>
    <mergeCell ref="D32:F32"/>
    <mergeCell ref="I32:J32"/>
    <mergeCell ref="J34:K34"/>
    <mergeCell ref="D31:F31"/>
    <mergeCell ref="I31:J31"/>
  </mergeCells>
  <conditionalFormatting sqref="C29">
    <cfRule type="duplicateValues" dxfId="148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theme="7"/>
    <pageSetUpPr fitToPage="1"/>
  </sheetPr>
  <dimension ref="B1:P52"/>
  <sheetViews>
    <sheetView topLeftCell="A28" zoomScaleNormal="100" workbookViewId="0">
      <selection activeCell="C35" sqref="C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512</v>
      </c>
      <c r="J10" s="24" t="s">
        <v>27</v>
      </c>
      <c r="K10" s="493">
        <v>202501186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Dessert    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95">
        <v>45665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737</v>
      </c>
      <c r="D18" s="461" t="str">
        <f>VLOOKUP(C18,'Sales Master'!B$3:D$530,2,)</f>
        <v>Chendol 浆咯</v>
      </c>
      <c r="E18" s="461"/>
      <c r="F18" s="461"/>
      <c r="G18" s="17">
        <v>1</v>
      </c>
      <c r="H18" s="85" t="str">
        <f>VLOOKUP(C18,'Sales Master'!$B$3:$F$2481,5,0)</f>
        <v>NW(2.2:0.8) 3kg/ Bag包</v>
      </c>
      <c r="I18" s="497" t="str">
        <f>VLOOKUP(C18,'Sales Master'!$B$3:$E$2481,4,0)</f>
        <v>DO!</v>
      </c>
      <c r="J18" s="497"/>
      <c r="K18" s="30">
        <f>VLOOKUP(C18,'Sales Master'!$B$3:$T3003,19,0)</f>
        <v>6.5</v>
      </c>
      <c r="L18" s="31">
        <f t="shared" ref="L18" si="0">K18*G18</f>
        <v>6.5</v>
      </c>
    </row>
    <row r="19" spans="2:16" ht="20.149999999999999" customHeight="1" x14ac:dyDescent="0.45">
      <c r="B19" s="29"/>
      <c r="C19" s="212" t="s">
        <v>722</v>
      </c>
      <c r="D19" s="461" t="str">
        <f>VLOOKUP(C19,'Sales Master'!B$3:D$530,2,)</f>
        <v xml:space="preserve">Fresh Soursop 红毛榴莲 </v>
      </c>
      <c r="E19" s="461"/>
      <c r="F19" s="461"/>
      <c r="G19" s="17">
        <v>1</v>
      </c>
      <c r="H19" s="85" t="str">
        <f>VLOOKUP(C19,'Sales Master'!$B$3:$F$2481,5,0)</f>
        <v>GW:5 KG/ Tub桶</v>
      </c>
      <c r="I19" s="497" t="str">
        <f>VLOOKUP(C19,'Sales Master'!$B$3:$E$2481,4,0)</f>
        <v>DO!</v>
      </c>
      <c r="J19" s="497"/>
      <c r="K19" s="30">
        <f>VLOOKUP(C19,'Sales Master'!$B$3:$T3080,19,0)</f>
        <v>31</v>
      </c>
      <c r="L19" s="31">
        <f>K19*G19</f>
        <v>31</v>
      </c>
    </row>
    <row r="20" spans="2:16" ht="20.149999999999999" customHeight="1" x14ac:dyDescent="0.45">
      <c r="B20" s="29"/>
      <c r="C20" s="212" t="s">
        <v>741</v>
      </c>
      <c r="D20" s="518" t="str">
        <f>VLOOKUP(C20,'Sales Master'!B$3:D$530,2,)</f>
        <v>Pong Thai Hai (Wet) 碰大海(湿)</v>
      </c>
      <c r="E20" s="518"/>
      <c r="F20" s="518"/>
      <c r="G20" s="17">
        <v>3</v>
      </c>
      <c r="H20" s="85" t="str">
        <f>VLOOKUP(C20,'Sales Master'!$B$3:$F$2481,5,0)</f>
        <v>1 KG/ Pkt包</v>
      </c>
      <c r="I20" s="497" t="str">
        <f>VLOOKUP(C20,'Sales Master'!$B$3:$E$2481,4,0)</f>
        <v>DO!</v>
      </c>
      <c r="J20" s="497"/>
      <c r="K20" s="30">
        <f>VLOOKUP(C20,'Sales Master'!$B$3:$T3081,19,0)</f>
        <v>10</v>
      </c>
      <c r="L20" s="31">
        <f>K20*G20</f>
        <v>30</v>
      </c>
    </row>
    <row r="21" spans="2:16" ht="20.149999999999999" customHeight="1" x14ac:dyDescent="0.45">
      <c r="B21" s="29"/>
      <c r="C21" s="212" t="s">
        <v>815</v>
      </c>
      <c r="D21" s="461" t="str">
        <f>VLOOKUP(C21,'Sales Master'!B$3:D$530,2,)</f>
        <v>Potato Starch 风车粉</v>
      </c>
      <c r="E21" s="461"/>
      <c r="F21" s="461"/>
      <c r="G21" s="17">
        <v>1</v>
      </c>
      <c r="H21" s="85" t="str">
        <f>VLOOKUP(C21,'Sales Master'!$B$3:$F$2481,5,0)</f>
        <v>5 KG</v>
      </c>
      <c r="I21" s="497" t="str">
        <f>VLOOKUP(C21,'Sales Master'!$B$3:$E$2481,4,0)</f>
        <v>RE-PACK</v>
      </c>
      <c r="J21" s="497"/>
      <c r="K21" s="30">
        <f>VLOOKUP(C21,'Sales Master'!$B$3:$T3081,19,0)</f>
        <v>13</v>
      </c>
      <c r="L21" s="31">
        <f>K21*G21</f>
        <v>13</v>
      </c>
      <c r="N21" s="145"/>
      <c r="O21" s="145"/>
      <c r="P21" s="145"/>
    </row>
    <row r="22" spans="2:16" ht="20.149999999999999" customHeight="1" x14ac:dyDescent="0.45">
      <c r="B22" s="29"/>
      <c r="C22" s="212" t="s">
        <v>829</v>
      </c>
      <c r="D22" s="492" t="str">
        <f>VLOOKUP(C22,'Sales Master'!B$3:D$530,2,)</f>
        <v>Atap Seeds in Syrup 亚嗒子</v>
      </c>
      <c r="E22" s="492"/>
      <c r="F22" s="492"/>
      <c r="G22" s="17">
        <v>1</v>
      </c>
      <c r="H22" s="85" t="str">
        <f>VLOOKUP(C22,'Sales Master'!$B$3:$F$2481,5,0)</f>
        <v>NW(1.6:0.6) 2.2kg/ Bag包</v>
      </c>
      <c r="I22" s="497" t="str">
        <f>VLOOKUP(C22,'Sales Master'!$B$3:$E$2481,4,0)</f>
        <v>DO!</v>
      </c>
      <c r="J22" s="497"/>
      <c r="K22" s="30">
        <f>VLOOKUP(C22,'Sales Master'!$B$3:$T3084,19,0)</f>
        <v>9.5</v>
      </c>
      <c r="L22" s="31">
        <f>K22*G22</f>
        <v>9.5</v>
      </c>
      <c r="N22" s="145"/>
      <c r="O22" s="145"/>
      <c r="P22" s="145"/>
    </row>
    <row r="23" spans="2:16" ht="20.149999999999999" customHeight="1" x14ac:dyDescent="0.45">
      <c r="B23" s="29"/>
      <c r="C23" s="212" t="s">
        <v>831</v>
      </c>
      <c r="D23" s="461" t="str">
        <f>VLOOKUP(C23,'Sales Master'!B$3:D$530,2,)</f>
        <v>Chin Chow  仙草</v>
      </c>
      <c r="E23" s="461"/>
      <c r="F23" s="461"/>
      <c r="G23" s="17">
        <v>3</v>
      </c>
      <c r="H23" s="85" t="str">
        <f>VLOOKUP(C23,'Sales Master'!$B$3:$F$2481,5,0)</f>
        <v>4 KG/ Pkt包</v>
      </c>
      <c r="I23" s="497" t="str">
        <f>VLOOKUP(C23,'Sales Master'!$B$3:$E$2481,4,0)</f>
        <v>TSM</v>
      </c>
      <c r="J23" s="497"/>
      <c r="K23" s="30">
        <f>VLOOKUP(C23,'Sales Master'!$B$3:$T3085,19,0)</f>
        <v>6</v>
      </c>
      <c r="L23" s="31">
        <f>K23*G23</f>
        <v>18</v>
      </c>
    </row>
    <row r="24" spans="2:16" ht="20.149999999999999" customHeight="1" x14ac:dyDescent="0.45">
      <c r="B24" s="29"/>
      <c r="C24" s="212" t="s">
        <v>841</v>
      </c>
      <c r="D24" s="461" t="str">
        <f>VLOOKUP(C24,'Sales Master'!B$3:D$530,2,)</f>
        <v>Small Red Bean 小红豆</v>
      </c>
      <c r="E24" s="461"/>
      <c r="F24" s="461"/>
      <c r="G24" s="17">
        <v>3</v>
      </c>
      <c r="H24" s="85" t="str">
        <f>VLOOKUP(C24,'Sales Master'!$B$3:$F$2481,5,0)</f>
        <v>5 KG</v>
      </c>
      <c r="I24" s="497" t="str">
        <f>VLOOKUP(C24,'Sales Master'!$B$3:$E$2481,4,0)</f>
        <v>-</v>
      </c>
      <c r="J24" s="497"/>
      <c r="K24" s="30">
        <f>VLOOKUP(C24,'Sales Master'!$B$3:$T3078,19,0)</f>
        <v>17.5</v>
      </c>
      <c r="L24" s="31">
        <f t="shared" ref="L24:L26" si="1">K24*G24</f>
        <v>52.5</v>
      </c>
      <c r="N24" s="145"/>
      <c r="O24" s="145"/>
      <c r="P24" s="145"/>
    </row>
    <row r="25" spans="2:16" ht="20.149999999999999" customHeight="1" x14ac:dyDescent="0.45">
      <c r="B25" s="29"/>
      <c r="C25" s="212" t="s">
        <v>849</v>
      </c>
      <c r="D25" s="461" t="str">
        <f>VLOOKUP(C25,'Sales Master'!B$3:D$530,2,)</f>
        <v>Green Bean 绿豆</v>
      </c>
      <c r="E25" s="461"/>
      <c r="F25" s="461"/>
      <c r="G25" s="17">
        <v>3</v>
      </c>
      <c r="H25" s="85" t="str">
        <f>VLOOKUP(C25,'Sales Master'!$B$3:$F$2481,5,0)</f>
        <v>5 KG</v>
      </c>
      <c r="I25" s="497" t="str">
        <f>VLOOKUP(C25,'Sales Master'!$B$3:$E$2481,4,0)</f>
        <v>-</v>
      </c>
      <c r="J25" s="497"/>
      <c r="K25" s="30">
        <f>VLOOKUP(C25,'Sales Master'!$B$3:$T3084,19,0)</f>
        <v>13</v>
      </c>
      <c r="L25" s="31">
        <f>K25*G25</f>
        <v>39</v>
      </c>
    </row>
    <row r="26" spans="2:16" ht="20.149999999999999" customHeight="1" x14ac:dyDescent="0.45">
      <c r="B26" s="29"/>
      <c r="C26" s="212" t="s">
        <v>861</v>
      </c>
      <c r="D26" s="492" t="str">
        <f>VLOOKUP(C26,'Sales Master'!B$3:D$530,2,)</f>
        <v>Black Glutinous Rice 黑糯米</v>
      </c>
      <c r="E26" s="492"/>
      <c r="F26" s="492"/>
      <c r="G26" s="17">
        <v>4</v>
      </c>
      <c r="H26" s="85" t="str">
        <f>VLOOKUP(C26,'Sales Master'!$B$3:$F$2481,5,0)</f>
        <v>5 KGS</v>
      </c>
      <c r="I26" s="497" t="str">
        <f>VLOOKUP(C26,'Sales Master'!$B$3:$E$2481,4,0)</f>
        <v>-</v>
      </c>
      <c r="J26" s="497"/>
      <c r="K26" s="30">
        <f>VLOOKUP(C26,'Sales Master'!$B$3:$T3079,19,0)</f>
        <v>18</v>
      </c>
      <c r="L26" s="31">
        <f t="shared" si="1"/>
        <v>72</v>
      </c>
      <c r="N26" s="145"/>
      <c r="O26" s="145"/>
      <c r="P26" s="145"/>
    </row>
    <row r="27" spans="2:16" ht="20.149999999999999" customHeight="1" x14ac:dyDescent="0.45">
      <c r="B27" s="29"/>
      <c r="C27" s="212" t="s">
        <v>870</v>
      </c>
      <c r="D27" s="461" t="str">
        <f>VLOOKUP(C27,'Sales Master'!B$3:D$530,2,)</f>
        <v>Pearl Barley 薏米</v>
      </c>
      <c r="E27" s="461"/>
      <c r="F27" s="461"/>
      <c r="G27" s="17">
        <v>2</v>
      </c>
      <c r="H27" s="85" t="str">
        <f>VLOOKUP(C27,'Sales Master'!$B$3:$F$2481,5,0)</f>
        <v>5 KG</v>
      </c>
      <c r="I27" s="497" t="str">
        <f>VLOOKUP(C27,'Sales Master'!$B$3:$E$2481,4,0)</f>
        <v>-</v>
      </c>
      <c r="J27" s="497"/>
      <c r="K27" s="30">
        <f>VLOOKUP(C27,'Sales Master'!$B$3:$T3082,19,0)</f>
        <v>10</v>
      </c>
      <c r="L27" s="31">
        <f>K27*G27</f>
        <v>20</v>
      </c>
    </row>
    <row r="28" spans="2:16" ht="20.149999999999999" customHeight="1" x14ac:dyDescent="0.45">
      <c r="B28" s="29"/>
      <c r="C28" s="212" t="s">
        <v>877</v>
      </c>
      <c r="D28" s="461" t="str">
        <f>VLOOKUP(C28,'Sales Master'!B$3:D$530,2,)</f>
        <v>Small Sago 小丸</v>
      </c>
      <c r="E28" s="461"/>
      <c r="F28" s="461"/>
      <c r="G28" s="17">
        <v>1</v>
      </c>
      <c r="H28" s="85" t="str">
        <f>VLOOKUP(C28,'Sales Master'!$B$3:$F$2481,5,0)</f>
        <v>5 KG</v>
      </c>
      <c r="I28" s="497" t="str">
        <f>VLOOKUP(C28,'Sales Master'!$B$3:$E$2481,4,0)</f>
        <v>-</v>
      </c>
      <c r="J28" s="497"/>
      <c r="K28" s="30">
        <f>VLOOKUP(C28,'Sales Master'!$B$3:$T3082,19,0)</f>
        <v>10</v>
      </c>
      <c r="L28" s="31">
        <f t="shared" ref="L28" si="2">K28*G28</f>
        <v>10</v>
      </c>
      <c r="N28" s="145"/>
      <c r="O28" s="145"/>
      <c r="P28" s="145"/>
    </row>
    <row r="29" spans="2:16" ht="20.149999999999999" customHeight="1" x14ac:dyDescent="0.45">
      <c r="B29" s="29"/>
      <c r="C29" s="212" t="s">
        <v>880</v>
      </c>
      <c r="D29" s="461" t="str">
        <f>VLOOKUP(C29,'Sales Master'!B$3:D$530,2,)</f>
        <v>Dried Longan 龙眼干</v>
      </c>
      <c r="E29" s="461"/>
      <c r="F29" s="461"/>
      <c r="G29" s="17">
        <v>10</v>
      </c>
      <c r="H29" s="85" t="str">
        <f>VLOOKUP(C29,'Sales Master'!$B$3:$F$2481,5,0)</f>
        <v>1 kg</v>
      </c>
      <c r="I29" s="497" t="str">
        <f>VLOOKUP(C29,'Sales Master'!$B$3:$E$2481,4,0)</f>
        <v>TL</v>
      </c>
      <c r="J29" s="497"/>
      <c r="K29" s="30">
        <f>VLOOKUP(C29,'Sales Master'!$B$3:$T3074,19,0)</f>
        <v>12</v>
      </c>
      <c r="L29" s="31">
        <f t="shared" ref="L29" si="3">K29*G29</f>
        <v>120</v>
      </c>
    </row>
    <row r="30" spans="2:16" ht="20.149999999999999" customHeight="1" x14ac:dyDescent="0.45">
      <c r="B30" s="29"/>
      <c r="C30" s="212" t="s">
        <v>886</v>
      </c>
      <c r="D30" s="461" t="str">
        <f>VLOOKUP(C30,'Sales Master'!B$3:D$530,2,)</f>
        <v>Fungus黄 木耳朵</v>
      </c>
      <c r="E30" s="461"/>
      <c r="F30" s="461"/>
      <c r="G30" s="17">
        <v>1</v>
      </c>
      <c r="H30" s="85" t="str">
        <f>VLOOKUP(C30,'Sales Master'!$B$3:$F$2481,5,0)</f>
        <v>1 kg</v>
      </c>
      <c r="I30" s="497" t="str">
        <f>VLOOKUP(C30,'Sales Master'!$B$3:$E$2481,4,0)</f>
        <v>黄</v>
      </c>
      <c r="J30" s="497"/>
      <c r="K30" s="30">
        <f>VLOOKUP(C30,'Sales Master'!$B$3:$T3087,19,0)</f>
        <v>16</v>
      </c>
      <c r="L30" s="31">
        <f>K30*G30</f>
        <v>16</v>
      </c>
    </row>
    <row r="31" spans="2:16" ht="20.149999999999999" customHeight="1" x14ac:dyDescent="0.45">
      <c r="B31" s="29"/>
      <c r="C31" s="212" t="s">
        <v>897</v>
      </c>
      <c r="D31" s="461" t="str">
        <f>VLOOKUP(C31,'Sales Master'!B$3:D$530,2,)</f>
        <v>Bean Curd Sheet 腐竹</v>
      </c>
      <c r="E31" s="461"/>
      <c r="F31" s="461"/>
      <c r="G31" s="17">
        <v>10</v>
      </c>
      <c r="H31" s="85" t="str">
        <f>VLOOKUP(C31,'Sales Master'!$B$3:$F$2481,5,0)</f>
        <v xml:space="preserve">150g/pkt </v>
      </c>
      <c r="I31" s="497" t="str">
        <f>VLOOKUP(C31,'Sales Master'!$B$3:$E$2481,4,0)</f>
        <v>丰</v>
      </c>
      <c r="J31" s="497"/>
      <c r="K31" s="30">
        <f>VLOOKUP(C31,'Sales Master'!$B$3:$T3088,19,0)</f>
        <v>2.4</v>
      </c>
      <c r="L31" s="31">
        <f>K31*G31</f>
        <v>24</v>
      </c>
    </row>
    <row r="32" spans="2:16" ht="20.149999999999999" customHeight="1" x14ac:dyDescent="0.45">
      <c r="B32" s="29"/>
      <c r="C32" s="212" t="s">
        <v>1279</v>
      </c>
      <c r="D32" s="461" t="str">
        <f>VLOOKUP(C32,'Sales Master'!B$3:D$530,2,)</f>
        <v>Corn Cream 玉米浆</v>
      </c>
      <c r="E32" s="461"/>
      <c r="F32" s="461"/>
      <c r="G32" s="17">
        <v>1</v>
      </c>
      <c r="H32" s="85" t="str">
        <f>VLOOKUP(C32,'Sales Master'!$B$3:$F$2481,5,0)</f>
        <v>24 CAN/ Ctn</v>
      </c>
      <c r="I32" s="497" t="str">
        <f>VLOOKUP(C32,'Sales Master'!$B$3:$E$2481,4,0)</f>
        <v>Golden Boy</v>
      </c>
      <c r="J32" s="497"/>
      <c r="K32" s="30">
        <f>VLOOKUP(C32,'Sales Master'!$B$3:$T3083,19,0)</f>
        <v>20.5</v>
      </c>
      <c r="L32" s="31">
        <f t="shared" ref="L32:L35" si="4">K32*G32</f>
        <v>20.5</v>
      </c>
    </row>
    <row r="33" spans="2:16" ht="20.149999999999999" customHeight="1" x14ac:dyDescent="0.45">
      <c r="B33" s="29"/>
      <c r="C33" s="212" t="s">
        <v>2258</v>
      </c>
      <c r="D33" s="461" t="str">
        <f>VLOOKUP(C33,'Sales Master'!B$3:D$530,2,)</f>
        <v>Longan in Syrup 龙眼</v>
      </c>
      <c r="E33" s="461"/>
      <c r="F33" s="461"/>
      <c r="G33" s="17">
        <v>1</v>
      </c>
      <c r="H33" s="85" t="str">
        <f>VLOOKUP(C33,'Sales Master'!$B$3:$F$2481,5,0)</f>
        <v>(565gm x 12)/ Ctn箱</v>
      </c>
      <c r="I33" s="497" t="str">
        <f>VLOOKUP(C33,'Sales Master'!$B$3:$E$2481,4,0)</f>
        <v>GoldenBoy</v>
      </c>
      <c r="J33" s="497"/>
      <c r="K33" s="30">
        <f>VLOOKUP(C33,'Sales Master'!$B$3:$T3081,19,0)</f>
        <v>24</v>
      </c>
      <c r="L33" s="31">
        <f>K33*G33</f>
        <v>24</v>
      </c>
    </row>
    <row r="34" spans="2:16" ht="20.149999999999999" customHeight="1" x14ac:dyDescent="0.45">
      <c r="B34" s="29"/>
      <c r="C34" s="212" t="s">
        <v>1011</v>
      </c>
      <c r="D34" s="461" t="str">
        <f>VLOOKUP(C34,'Sales Master'!B$3:D$530,2,)</f>
        <v>Brown Sugar 黑糖</v>
      </c>
      <c r="E34" s="461"/>
      <c r="F34" s="461"/>
      <c r="G34" s="17">
        <v>1</v>
      </c>
      <c r="H34" s="85" t="str">
        <f>VLOOKUP(C34,'Sales Master'!$B$3:$F$2481,5,0)</f>
        <v>6 KG</v>
      </c>
      <c r="I34" s="497" t="str">
        <f>VLOOKUP(C34,'Sales Master'!$B$3:$E$2481,4,0)</f>
        <v>Star</v>
      </c>
      <c r="J34" s="497"/>
      <c r="K34" s="30">
        <f>VLOOKUP(C34,'Sales Master'!$B$3:$T3075,19,0)</f>
        <v>15</v>
      </c>
      <c r="L34" s="31">
        <f>K34*G34</f>
        <v>15</v>
      </c>
    </row>
    <row r="35" spans="2:16" ht="20.149999999999999" customHeight="1" x14ac:dyDescent="0.45">
      <c r="B35" s="29"/>
      <c r="C35" s="212" t="s">
        <v>1033</v>
      </c>
      <c r="D35" s="461" t="str">
        <f>VLOOKUP(C35,'Sales Master'!B$3:D$530,2,)</f>
        <v>Pandan Leaf 班兰叶</v>
      </c>
      <c r="E35" s="461"/>
      <c r="F35" s="461"/>
      <c r="G35" s="17">
        <v>1</v>
      </c>
      <c r="H35" s="85" t="str">
        <f>VLOOKUP(C35,'Sales Master'!$B$3:$F$2481,5,0)</f>
        <v>1 KG</v>
      </c>
      <c r="I35" s="497" t="str">
        <f>VLOOKUP(C35,'Sales Master'!$B$3:$E$2481,4,0)</f>
        <v>-</v>
      </c>
      <c r="J35" s="497"/>
      <c r="K35" s="30">
        <f>VLOOKUP(C35,'Sales Master'!$B$3:$T3086,19,0)</f>
        <v>1.8</v>
      </c>
      <c r="L35" s="31">
        <f t="shared" si="4"/>
        <v>1.8</v>
      </c>
      <c r="N35" s="145"/>
      <c r="O35" s="145"/>
      <c r="P35" s="145"/>
    </row>
    <row r="36" spans="2:16" ht="20.149999999999999" customHeight="1" x14ac:dyDescent="0.45">
      <c r="B36" s="29"/>
      <c r="C36" s="212"/>
      <c r="G36" s="17"/>
      <c r="H36" s="85"/>
      <c r="I36" s="208"/>
      <c r="J36" s="208"/>
      <c r="K36" s="30"/>
      <c r="L36" s="31"/>
      <c r="N36" s="145"/>
      <c r="O36" s="145"/>
      <c r="P36" s="145"/>
    </row>
    <row r="37" spans="2:16" ht="20.149999999999999" customHeight="1" x14ac:dyDescent="0.45">
      <c r="B37" s="29"/>
      <c r="C37" s="212"/>
      <c r="G37" s="17"/>
      <c r="H37" s="85"/>
      <c r="I37" s="208"/>
      <c r="J37" s="208"/>
      <c r="K37" s="30"/>
      <c r="L37" s="31"/>
      <c r="N37" s="145"/>
      <c r="O37" s="145"/>
      <c r="P37" s="145"/>
    </row>
    <row r="38" spans="2:16" ht="20.149999999999999" customHeight="1" thickBot="1" x14ac:dyDescent="0.5">
      <c r="B38" s="32"/>
      <c r="C38" s="33"/>
      <c r="D38" s="490"/>
      <c r="E38" s="490"/>
      <c r="F38" s="490"/>
      <c r="G38" s="33"/>
      <c r="H38" s="33"/>
      <c r="I38" s="33"/>
      <c r="J38" s="33"/>
      <c r="K38" s="34"/>
      <c r="L38" s="35"/>
    </row>
    <row r="39" spans="2:16" ht="20.149999999999999" customHeight="1" thickBot="1" x14ac:dyDescent="0.5">
      <c r="B39" s="36"/>
      <c r="L39" s="37"/>
    </row>
    <row r="40" spans="2:16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55" t="s">
        <v>13</v>
      </c>
      <c r="K40" s="456"/>
      <c r="L40" s="38">
        <f>SUM(L18:L39)</f>
        <v>522.79999999999995</v>
      </c>
      <c r="M40" s="63">
        <f>SUM(P18:P39)-L40*0.02</f>
        <v>-10.456</v>
      </c>
    </row>
    <row r="41" spans="2:16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6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57" t="s">
        <v>19</v>
      </c>
      <c r="K42" s="458"/>
      <c r="L42" s="41">
        <f>L40-L41</f>
        <v>522.79999999999995</v>
      </c>
    </row>
    <row r="43" spans="2:16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47.051999999999992</v>
      </c>
    </row>
    <row r="44" spans="2:16" ht="20.149999999999999" customHeight="1" thickBot="1" x14ac:dyDescent="0.5">
      <c r="B44" s="10" t="s">
        <v>23</v>
      </c>
      <c r="C44" s="6"/>
      <c r="D44" s="6"/>
      <c r="E44" s="6"/>
      <c r="F44" s="6"/>
      <c r="G44" s="6"/>
      <c r="H44" s="6"/>
      <c r="I44" s="6"/>
      <c r="J44" s="459" t="s">
        <v>21</v>
      </c>
      <c r="K44" s="460"/>
      <c r="L44" s="43">
        <f>L42+L43</f>
        <v>569.85199999999998</v>
      </c>
    </row>
    <row r="45" spans="2:16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5">
    <mergeCell ref="D32:F32"/>
    <mergeCell ref="I20:J20"/>
    <mergeCell ref="I27:J27"/>
    <mergeCell ref="I32:J32"/>
    <mergeCell ref="J44:K44"/>
    <mergeCell ref="D38:F38"/>
    <mergeCell ref="J40:K40"/>
    <mergeCell ref="J42:K42"/>
    <mergeCell ref="I28:J28"/>
    <mergeCell ref="D28:F28"/>
    <mergeCell ref="I31:J31"/>
    <mergeCell ref="I30:J30"/>
    <mergeCell ref="D31:F31"/>
    <mergeCell ref="D22:F22"/>
    <mergeCell ref="I22:J22"/>
    <mergeCell ref="D30:F30"/>
    <mergeCell ref="D35:F35"/>
    <mergeCell ref="I35:J35"/>
    <mergeCell ref="D20:F20"/>
    <mergeCell ref="D27:F27"/>
    <mergeCell ref="I25:J25"/>
    <mergeCell ref="D25:F25"/>
    <mergeCell ref="I24:J24"/>
    <mergeCell ref="I26:J26"/>
    <mergeCell ref="I21:J21"/>
    <mergeCell ref="D21:F21"/>
    <mergeCell ref="I33:J33"/>
    <mergeCell ref="I34:J34"/>
    <mergeCell ref="D34:F34"/>
    <mergeCell ref="D33:F33"/>
    <mergeCell ref="D24:F24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7:F17"/>
    <mergeCell ref="I18:J18"/>
    <mergeCell ref="D18:F18"/>
    <mergeCell ref="D29:F29"/>
    <mergeCell ref="I29:J29"/>
    <mergeCell ref="I19:J19"/>
    <mergeCell ref="D23:F23"/>
    <mergeCell ref="I23:J23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M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515</v>
      </c>
      <c r="J10" s="24" t="s">
        <v>27</v>
      </c>
      <c r="K10" s="493">
        <v>202501185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Tim Sum   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95">
        <v>45665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799</v>
      </c>
      <c r="D18" s="564" t="str">
        <f>VLOOKUP(C18,'Sales Master'!B$3:D$530,2,)</f>
        <v>Sweet Potato Powder 番薯粉</v>
      </c>
      <c r="E18" s="564"/>
      <c r="F18" s="564"/>
      <c r="G18" s="17">
        <v>1</v>
      </c>
      <c r="H18" s="85" t="str">
        <f>VLOOKUP(C18,'Sales Master'!$B$3:$F$2481,5,0)</f>
        <v>3 kgs</v>
      </c>
      <c r="I18" s="208" t="str">
        <f>VLOOKUP(C18,'Sales Master'!$B$3:$E$2481,4,0)</f>
        <v>RE-PACK</v>
      </c>
      <c r="J18" s="208"/>
      <c r="K18" s="30">
        <f>VLOOKUP(C18,'Sales Master'!$B$3:$T3003,19,0)</f>
        <v>10.5</v>
      </c>
      <c r="L18" s="31">
        <f>K18*G18</f>
        <v>10.5</v>
      </c>
    </row>
    <row r="19" spans="2:13" ht="20.149999999999999" customHeight="1" x14ac:dyDescent="0.45">
      <c r="B19" s="29"/>
      <c r="C19" s="212" t="s">
        <v>990</v>
      </c>
      <c r="D19" s="461" t="str">
        <f>VLOOKUP(C19,'Sales Master'!B$3:D$530,2,)</f>
        <v>Coconut Milk 椰浆</v>
      </c>
      <c r="E19" s="461"/>
      <c r="F19" s="461"/>
      <c r="G19" s="17">
        <v>2</v>
      </c>
      <c r="H19" s="85" t="str">
        <f>VLOOKUP(C19,'Sales Master'!$B$3:$F$2481,5,0)</f>
        <v>(1L x 12bag)/箱</v>
      </c>
      <c r="I19" s="208" t="str">
        <f>VLOOKUP(C19,'Sales Master'!$B$3:$E$2481,4,0)</f>
        <v>Kara UHT</v>
      </c>
      <c r="J19" s="208"/>
      <c r="K19" s="30">
        <f>VLOOKUP(C19,'Sales Master'!$B$3:$T3004,19,0)</f>
        <v>42</v>
      </c>
      <c r="L19" s="31">
        <f>K19*G19</f>
        <v>84</v>
      </c>
    </row>
    <row r="20" spans="2:13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</row>
    <row r="21" spans="2:13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</row>
    <row r="22" spans="2:13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</row>
    <row r="23" spans="2:13" ht="20.149999999999999" customHeight="1" x14ac:dyDescent="0.45">
      <c r="B23" s="29"/>
      <c r="C23" s="212"/>
      <c r="G23" s="17"/>
      <c r="H23" s="85"/>
      <c r="I23" s="208"/>
      <c r="J23" s="208"/>
      <c r="K23" s="30"/>
      <c r="L23" s="31"/>
    </row>
    <row r="24" spans="2:13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</row>
    <row r="25" spans="2:13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</row>
    <row r="26" spans="2:13" ht="20.149999999999999" customHeight="1" x14ac:dyDescent="0.45">
      <c r="B26" s="29"/>
      <c r="C26" s="212"/>
      <c r="D26" s="492"/>
      <c r="E26" s="492"/>
      <c r="F26" s="492"/>
      <c r="G26" s="17"/>
      <c r="H26" s="85"/>
      <c r="I26" s="497"/>
      <c r="J26" s="497"/>
      <c r="K26" s="30"/>
      <c r="L26" s="31"/>
    </row>
    <row r="27" spans="2:13" ht="20.149999999999999" customHeight="1" x14ac:dyDescent="0.45">
      <c r="B27" s="29"/>
      <c r="C27" s="212"/>
      <c r="D27" s="461"/>
      <c r="E27" s="461"/>
      <c r="F27" s="461"/>
      <c r="G27" s="17"/>
      <c r="H27" s="85"/>
      <c r="I27" s="497"/>
      <c r="J27" s="497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90"/>
      <c r="E29" s="490"/>
      <c r="F29" s="490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55" t="s">
        <v>13</v>
      </c>
      <c r="K31" s="456"/>
      <c r="L31" s="38">
        <f>SUM(L17:L29)</f>
        <v>94.5</v>
      </c>
      <c r="M31" s="63">
        <f>SUM(P18:P27)-L31*0.02</f>
        <v>-1.8900000000000001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57" t="s">
        <v>19</v>
      </c>
      <c r="K33" s="458"/>
      <c r="L33" s="41">
        <f>L31-L32</f>
        <v>94.5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8.504999999999999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59" t="s">
        <v>21</v>
      </c>
      <c r="K35" s="460"/>
      <c r="L35" s="43">
        <f>L33+L34</f>
        <v>103.005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26">
    <mergeCell ref="D18:F18"/>
    <mergeCell ref="I17:J17"/>
    <mergeCell ref="D17:F17"/>
    <mergeCell ref="J35:K35"/>
    <mergeCell ref="D28:F28"/>
    <mergeCell ref="D29:F29"/>
    <mergeCell ref="J31:K31"/>
    <mergeCell ref="J33:K33"/>
    <mergeCell ref="D27:F27"/>
    <mergeCell ref="I27:J27"/>
    <mergeCell ref="D26:F26"/>
    <mergeCell ref="I26:J26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topLeftCell="B1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527</v>
      </c>
      <c r="J10" s="24" t="s">
        <v>27</v>
      </c>
      <c r="K10" s="493">
        <v>202403094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Drink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95">
        <v>45355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463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8" t="s">
        <v>29</v>
      </c>
      <c r="I17" s="470" t="s">
        <v>53</v>
      </c>
      <c r="J17" s="472"/>
      <c r="K17" s="8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953</v>
      </c>
      <c r="D18" s="461" t="str">
        <f>VLOOKUP(C18,'Sales Master'!B$3:D$530,2,)</f>
        <v>Aloe Vera 芦荟 10mm</v>
      </c>
      <c r="E18" s="461"/>
      <c r="F18" s="461"/>
      <c r="G18" s="17">
        <v>2</v>
      </c>
      <c r="H18" s="85" t="str">
        <f>VLOOKUP(C18,'Sales Master'!$B$3:$F$2481,5,0)</f>
        <v>1 Can X A10</v>
      </c>
      <c r="I18" s="497" t="str">
        <f>VLOOKUP(C18,'Sales Master'!$B$3:$E$2481,4,0)</f>
        <v>Chefs</v>
      </c>
      <c r="J18" s="497"/>
      <c r="K18" s="30">
        <f>VLOOKUP(C18,'Sales Master'!$B$3:$T3002,19,0)</f>
        <v>10</v>
      </c>
      <c r="L18" s="31">
        <f>K18*G18</f>
        <v>20</v>
      </c>
      <c r="N18" s="145">
        <f>VLOOKUP(C18,'Sales Master'!$B$3:$DA$2272,104,0)</f>
        <v>7</v>
      </c>
      <c r="O18" s="145">
        <f>K18-N18</f>
        <v>3</v>
      </c>
      <c r="P18" s="145">
        <f>O18*G18</f>
        <v>6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85"/>
      <c r="I19" s="497"/>
      <c r="J19" s="497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97"/>
      <c r="J20" s="497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97"/>
      <c r="J21" s="497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97"/>
      <c r="J22" s="497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97"/>
      <c r="J23" s="497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97"/>
      <c r="J24" s="497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85"/>
      <c r="I25" s="497"/>
      <c r="J25" s="497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85"/>
      <c r="I26" s="497"/>
      <c r="J26" s="497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85"/>
      <c r="I27" s="497"/>
      <c r="J27" s="497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85"/>
      <c r="I28" s="497"/>
      <c r="J28" s="497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90"/>
      <c r="E30" s="490"/>
      <c r="F30" s="490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55" t="s">
        <v>13</v>
      </c>
      <c r="K32" s="456"/>
      <c r="L32" s="38">
        <f>SUM(L17:L30)</f>
        <v>20</v>
      </c>
      <c r="M32" s="63">
        <f>SUM(P18:P28)-L32*0.02</f>
        <v>5.6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57" t="s">
        <v>19</v>
      </c>
      <c r="K34" s="458"/>
      <c r="L34" s="41">
        <f>L32-L33</f>
        <v>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1.7999999999999998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59" t="s">
        <v>21</v>
      </c>
      <c r="K36" s="460"/>
      <c r="L36" s="43">
        <f>L34+L35</f>
        <v>21.8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2" workbookViewId="0">
      <selection activeCell="L41" sqref="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529</v>
      </c>
      <c r="J10" s="24" t="s">
        <v>27</v>
      </c>
      <c r="K10" s="493">
        <v>202302110</v>
      </c>
      <c r="L10" s="494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Location'!A$4:N$460,2,0)</f>
        <v>Tel: 90087698                                         690 Upper changi Road East #B3-02. Upper Changi MRT Station Singapore 485990</v>
      </c>
      <c r="G11" s="481"/>
      <c r="H11" s="482"/>
      <c r="J11" s="26" t="s">
        <v>9</v>
      </c>
      <c r="K11" s="504">
        <v>44958</v>
      </c>
      <c r="L11" s="464"/>
    </row>
    <row r="12" spans="2:12" ht="20.149999999999999" customHeight="1" x14ac:dyDescent="0.45">
      <c r="B12" s="488"/>
      <c r="C12" s="449"/>
      <c r="D12" s="489"/>
      <c r="E12" s="25"/>
      <c r="F12" s="483"/>
      <c r="G12" s="484"/>
      <c r="H12" s="485"/>
      <c r="J12" s="26" t="s">
        <v>145</v>
      </c>
      <c r="K12" s="463" t="s">
        <v>350</v>
      </c>
      <c r="L12" s="464"/>
    </row>
    <row r="13" spans="2:12" ht="20.149999999999999" customHeight="1" x14ac:dyDescent="0.45">
      <c r="B13" s="488"/>
      <c r="C13" s="449"/>
      <c r="D13" s="489"/>
      <c r="E13" s="25"/>
      <c r="F13" s="483"/>
      <c r="G13" s="484"/>
      <c r="H13" s="485"/>
      <c r="J13" s="26" t="s">
        <v>10</v>
      </c>
      <c r="K13" s="463" t="s">
        <v>442</v>
      </c>
      <c r="L13" s="464"/>
    </row>
    <row r="14" spans="2:12" ht="20.149999999999999" customHeight="1" x14ac:dyDescent="0.45">
      <c r="B14" s="488"/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508"/>
      <c r="C15" s="509"/>
      <c r="D15" s="510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7" t="s">
        <v>407</v>
      </c>
      <c r="I17" s="470" t="s">
        <v>406</v>
      </c>
      <c r="J17" s="472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300</v>
      </c>
      <c r="D18" s="461" t="e">
        <f>VLOOKUP(C18,'Sales Master'!B$3:D$530,2,)</f>
        <v>#N/A</v>
      </c>
      <c r="E18" s="461"/>
      <c r="F18" s="461"/>
      <c r="G18" s="76">
        <v>5</v>
      </c>
      <c r="H18" s="56" t="e">
        <f>VLOOKUP(C18,'Sales Master'!$B$3:$E$530,4,0)</f>
        <v>#N/A</v>
      </c>
      <c r="I18" s="491" t="e">
        <f>VLOOKUP(C18,'Sales Master'!$B$3:F$530,5,0)</f>
        <v>#N/A</v>
      </c>
      <c r="J18" s="491"/>
      <c r="K18" s="80" t="e">
        <f>VLOOKUP(C18,'Sales Master'!B$3:BD$530,55,0)</f>
        <v>#N/A</v>
      </c>
      <c r="L18" s="64" t="e">
        <f>K18*G18</f>
        <v>#N/A</v>
      </c>
      <c r="M18" s="65"/>
      <c r="N18" s="93" t="s">
        <v>297</v>
      </c>
      <c r="O18" s="19" t="s">
        <v>234</v>
      </c>
      <c r="R18" s="19">
        <v>1</v>
      </c>
      <c r="S18" s="19" t="s">
        <v>34</v>
      </c>
      <c r="T18" s="19" t="s">
        <v>470</v>
      </c>
      <c r="V18" s="19">
        <v>30</v>
      </c>
    </row>
    <row r="19" spans="2:22" ht="20.149999999999999" customHeight="1" x14ac:dyDescent="0.45">
      <c r="B19" s="29"/>
      <c r="C19" s="17" t="s">
        <v>302</v>
      </c>
      <c r="D19" s="461" t="e">
        <f>VLOOKUP(C19,'Sales Master'!B$3:D$530,2,)</f>
        <v>#N/A</v>
      </c>
      <c r="E19" s="461"/>
      <c r="F19" s="461"/>
      <c r="G19" s="76">
        <v>5</v>
      </c>
      <c r="H19" s="56" t="e">
        <f>VLOOKUP(C19,'Sales Master'!$B$3:$E$530,4,0)</f>
        <v>#N/A</v>
      </c>
      <c r="I19" s="491" t="e">
        <f>VLOOKUP(C19,'Sales Master'!$B$3:F$530,5,0)</f>
        <v>#N/A</v>
      </c>
      <c r="J19" s="491"/>
      <c r="K19" s="80" t="e">
        <f>VLOOKUP(C19,'Sales Master'!B$3:BD$530,55,0)</f>
        <v>#N/A</v>
      </c>
      <c r="L19" s="64" t="e">
        <f>K19*G19</f>
        <v>#N/A</v>
      </c>
      <c r="M19" s="65"/>
      <c r="N19" s="93" t="s">
        <v>306</v>
      </c>
      <c r="O19" s="19" t="s">
        <v>251</v>
      </c>
      <c r="R19" s="19">
        <v>2</v>
      </c>
      <c r="S19" s="19" t="s">
        <v>214</v>
      </c>
      <c r="T19" s="19" t="s">
        <v>32</v>
      </c>
      <c r="V19" s="19">
        <v>13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91"/>
      <c r="J20" s="491"/>
      <c r="K20" s="80"/>
      <c r="L20" s="64"/>
      <c r="M20" s="65"/>
      <c r="N20" s="93" t="s">
        <v>309</v>
      </c>
      <c r="O20" s="19" t="s">
        <v>253</v>
      </c>
      <c r="R20" s="19">
        <v>1</v>
      </c>
      <c r="S20" s="19" t="s">
        <v>50</v>
      </c>
      <c r="T20" s="19" t="s">
        <v>32</v>
      </c>
      <c r="V20" s="19">
        <v>8.5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91"/>
      <c r="J21" s="491"/>
      <c r="K21" s="80"/>
      <c r="L21" s="64"/>
      <c r="M21" s="65"/>
      <c r="N21" s="93" t="s">
        <v>318</v>
      </c>
      <c r="O21" s="19" t="s">
        <v>321</v>
      </c>
      <c r="R21" s="19">
        <v>1</v>
      </c>
      <c r="S21" s="19" t="s">
        <v>218</v>
      </c>
      <c r="T21" s="19" t="s">
        <v>450</v>
      </c>
      <c r="V21" s="19">
        <v>32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91"/>
      <c r="J22" s="491"/>
      <c r="K22" s="80"/>
      <c r="L22" s="64"/>
      <c r="M22" s="6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91"/>
      <c r="J23" s="491"/>
      <c r="K23" s="80"/>
      <c r="L23" s="64"/>
      <c r="M23" s="65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91"/>
      <c r="J24" s="491"/>
      <c r="K24" s="8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91"/>
      <c r="J25" s="491"/>
      <c r="K25" s="8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91"/>
      <c r="J26" s="491"/>
      <c r="K26" s="8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91"/>
      <c r="J27" s="491"/>
      <c r="K27" s="80"/>
      <c r="L27" s="64"/>
      <c r="M27" s="65"/>
    </row>
    <row r="28" spans="2:22" ht="20.149999999999999" customHeight="1" x14ac:dyDescent="0.45">
      <c r="B28" s="29"/>
      <c r="C28" s="17"/>
      <c r="G28" s="76"/>
      <c r="H28" s="56"/>
      <c r="I28" s="491"/>
      <c r="J28" s="491"/>
      <c r="K28" s="80"/>
      <c r="L28" s="64"/>
      <c r="M28" s="65"/>
    </row>
    <row r="29" spans="2:22" ht="20.149999999999999" customHeight="1" x14ac:dyDescent="0.45">
      <c r="B29" s="29"/>
      <c r="C29" s="17"/>
      <c r="G29" s="76"/>
      <c r="H29" s="56"/>
      <c r="I29" s="491"/>
      <c r="J29" s="491"/>
      <c r="K29" s="80"/>
      <c r="L29" s="64"/>
      <c r="M29" s="65"/>
    </row>
    <row r="30" spans="2:22" ht="20.149999999999999" customHeight="1" x14ac:dyDescent="0.45">
      <c r="B30" s="29"/>
      <c r="C30" s="17"/>
      <c r="G30" s="76"/>
      <c r="H30" s="56"/>
      <c r="I30" s="491"/>
      <c r="J30" s="491"/>
      <c r="K30" s="80"/>
      <c r="L30" s="64"/>
      <c r="M30" s="65"/>
    </row>
    <row r="31" spans="2:22" ht="20.149999999999999" customHeight="1" x14ac:dyDescent="0.45">
      <c r="B31" s="29"/>
      <c r="C31" s="17"/>
      <c r="G31" s="17"/>
      <c r="H31" s="56"/>
      <c r="I31" s="491"/>
      <c r="J31" s="491"/>
      <c r="K31" s="80"/>
      <c r="L31" s="64"/>
      <c r="M31" s="65"/>
    </row>
    <row r="32" spans="2:22" ht="20.149999999999999" customHeight="1" x14ac:dyDescent="0.45">
      <c r="B32" s="29"/>
      <c r="C32" s="17"/>
      <c r="G32" s="17"/>
      <c r="H32" s="56"/>
      <c r="I32" s="491"/>
      <c r="J32" s="491"/>
      <c r="K32" s="8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91"/>
      <c r="J33" s="491"/>
      <c r="K33" s="8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91"/>
      <c r="J34" s="491"/>
      <c r="K34" s="8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91"/>
      <c r="J35" s="491"/>
      <c r="K35" s="8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91"/>
      <c r="J36" s="491"/>
      <c r="K36" s="80"/>
      <c r="L36" s="64"/>
    </row>
    <row r="37" spans="2:13" ht="20.149999999999999" customHeight="1" thickBot="1" x14ac:dyDescent="0.5">
      <c r="B37" s="32"/>
      <c r="C37" s="33"/>
      <c r="D37" s="490"/>
      <c r="E37" s="490"/>
      <c r="F37" s="490"/>
      <c r="G37" s="33"/>
      <c r="H37" s="57"/>
      <c r="I37" s="474"/>
      <c r="J37" s="474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55" t="s">
        <v>13</v>
      </c>
      <c r="K39" s="456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57" t="s">
        <v>19</v>
      </c>
      <c r="K41" s="458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59" t="s">
        <v>21</v>
      </c>
      <c r="K43" s="460"/>
      <c r="L43" s="43" t="e">
        <f>L41+L42</f>
        <v>#N/A</v>
      </c>
    </row>
    <row r="44" spans="2:13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3"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DF43-26D9-4BDA-AF01-074D213A4FCE}">
  <sheetPr codeName="Sheet4">
    <tabColor rgb="FFFFC000"/>
    <pageSetUpPr fitToPage="1"/>
  </sheetPr>
  <dimension ref="B1:AO225"/>
  <sheetViews>
    <sheetView topLeftCell="A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2:12" x14ac:dyDescent="0.45"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2:12" x14ac:dyDescent="0.45"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12" x14ac:dyDescent="0.4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x14ac:dyDescent="0.45"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</row>
    <row r="6" spans="2:12" x14ac:dyDescent="0.45"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</row>
    <row r="7" spans="2:12" x14ac:dyDescent="0.45"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</row>
    <row r="8" spans="2:12" ht="19" thickBot="1" x14ac:dyDescent="0.5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532</v>
      </c>
      <c r="J10" s="24" t="s">
        <v>27</v>
      </c>
      <c r="K10" s="493">
        <v>202402477</v>
      </c>
      <c r="L10" s="494"/>
    </row>
    <row r="11" spans="2:12" ht="20.149999999999999" customHeight="1" x14ac:dyDescent="0.45">
      <c r="B11" s="477" t="s">
        <v>1180</v>
      </c>
      <c r="C11" s="478"/>
      <c r="D11" s="479"/>
      <c r="E11" s="25"/>
      <c r="F11" s="480" t="str">
        <f>VLOOKUP(H10,'Delivery Location'!A$4:N$460,2,0)</f>
        <v>Koufu - White Sands                                                 1 Pasir Ris Central St 3, #03-01/02,    Singapore 518457                         (Dessert)</v>
      </c>
      <c r="G11" s="481"/>
      <c r="H11" s="482"/>
      <c r="J11" s="26" t="s">
        <v>9</v>
      </c>
      <c r="K11" s="495">
        <v>45348</v>
      </c>
      <c r="L11" s="496"/>
    </row>
    <row r="12" spans="2:12" ht="20.149999999999999" customHeight="1" x14ac:dyDescent="0.45">
      <c r="B12" s="488" t="s">
        <v>1251</v>
      </c>
      <c r="C12" s="449"/>
      <c r="D12" s="489"/>
      <c r="E12" s="25"/>
      <c r="F12" s="483"/>
      <c r="G12" s="484"/>
      <c r="H12" s="485"/>
      <c r="J12" s="26" t="s">
        <v>145</v>
      </c>
      <c r="K12" s="504" t="s">
        <v>34</v>
      </c>
      <c r="L12" s="464"/>
    </row>
    <row r="13" spans="2:12" ht="20.149999999999999" customHeight="1" x14ac:dyDescent="0.45">
      <c r="B13" s="488" t="s">
        <v>1172</v>
      </c>
      <c r="C13" s="449"/>
      <c r="D13" s="489"/>
      <c r="E13" s="25"/>
      <c r="F13" s="483"/>
      <c r="G13" s="484"/>
      <c r="H13" s="485"/>
      <c r="J13" s="26" t="s">
        <v>10</v>
      </c>
      <c r="K13" s="463" t="s">
        <v>12</v>
      </c>
      <c r="L13" s="464"/>
    </row>
    <row r="14" spans="2:12" ht="20.149999999999999" customHeight="1" x14ac:dyDescent="0.45">
      <c r="B14" s="488" t="s">
        <v>1173</v>
      </c>
      <c r="C14" s="449"/>
      <c r="D14" s="489"/>
      <c r="E14" s="25"/>
      <c r="F14" s="483"/>
      <c r="G14" s="484"/>
      <c r="H14" s="485"/>
      <c r="J14" s="26" t="s">
        <v>28</v>
      </c>
      <c r="K14" s="463" t="s">
        <v>14</v>
      </c>
      <c r="L14" s="464"/>
    </row>
    <row r="15" spans="2:12" ht="18" customHeight="1" thickBot="1" x14ac:dyDescent="0.5">
      <c r="B15" s="465" t="s">
        <v>1174</v>
      </c>
      <c r="C15" s="466"/>
      <c r="D15" s="467"/>
      <c r="E15" s="21"/>
      <c r="F15" s="465"/>
      <c r="G15" s="466"/>
      <c r="H15" s="467"/>
      <c r="J15" s="27" t="s">
        <v>11</v>
      </c>
      <c r="K15" s="468"/>
      <c r="L15" s="469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0" t="s">
        <v>4</v>
      </c>
      <c r="E17" s="471"/>
      <c r="F17" s="472"/>
      <c r="G17" s="15" t="s">
        <v>405</v>
      </c>
      <c r="H17" s="197" t="s">
        <v>29</v>
      </c>
      <c r="I17" s="470" t="s">
        <v>53</v>
      </c>
      <c r="J17" s="472"/>
      <c r="K17" s="9" t="s">
        <v>5</v>
      </c>
      <c r="L17" s="9" t="s">
        <v>6</v>
      </c>
      <c r="M17" s="28"/>
      <c r="N17" s="182" t="s">
        <v>1250</v>
      </c>
      <c r="O17" s="182" t="s">
        <v>1252</v>
      </c>
      <c r="P17" s="182" t="s">
        <v>1253</v>
      </c>
    </row>
    <row r="18" spans="2:16" ht="20.149999999999999" customHeight="1" x14ac:dyDescent="0.45">
      <c r="B18" s="29"/>
      <c r="C18" s="212" t="s">
        <v>736</v>
      </c>
      <c r="D18" s="498" t="str">
        <f>VLOOKUP(C18,'Sales Master'!B$3:D$530,2,)</f>
        <v>Bobo ChaCha Cubes 摩摩喳喳</v>
      </c>
      <c r="E18" s="498"/>
      <c r="F18" s="498"/>
      <c r="G18" s="17">
        <v>4</v>
      </c>
      <c r="H18" s="186" t="str">
        <f>VLOOKUP(C18,'Sales Master'!$B$3:$F$2413,5,0)</f>
        <v>800 GM/ Bag包</v>
      </c>
      <c r="I18" s="497" t="str">
        <f>VLOOKUP(C18,'Sales Master'!$B$3:$E$2413,4,0)</f>
        <v>DO!</v>
      </c>
      <c r="J18" s="497"/>
      <c r="K18" s="30">
        <f>VLOOKUP(C18,'Sales Master'!B$3:AL$530,37,0)</f>
        <v>6</v>
      </c>
      <c r="L18" s="64">
        <f>K18*G18</f>
        <v>24</v>
      </c>
      <c r="M18" s="65"/>
      <c r="N18" s="145">
        <f>VLOOKUP(C18,'Sales Master'!$B$3:$DA$2272,104,0)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2"/>
      <c r="D19" s="498"/>
      <c r="E19" s="498"/>
      <c r="F19" s="498"/>
      <c r="G19" s="17"/>
      <c r="H19" s="186"/>
      <c r="I19" s="497"/>
      <c r="J19" s="497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97"/>
      <c r="J20" s="497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97"/>
      <c r="J21" s="497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97"/>
      <c r="J22" s="497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97"/>
      <c r="J23" s="497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97"/>
      <c r="J24" s="497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6"/>
      <c r="I25" s="497"/>
      <c r="J25" s="497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97"/>
      <c r="J26" s="497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97"/>
      <c r="J27" s="497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6"/>
      <c r="I28" s="497"/>
      <c r="J28" s="497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186"/>
      <c r="I31" s="497"/>
      <c r="J31" s="497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90"/>
      <c r="E32" s="490"/>
      <c r="F32" s="490"/>
      <c r="G32" s="33"/>
      <c r="H32" s="57"/>
      <c r="I32" s="474"/>
      <c r="J32" s="474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55" t="s">
        <v>13</v>
      </c>
      <c r="K34" s="456"/>
      <c r="L34" s="38">
        <f>SUM(L17:L33)</f>
        <v>24</v>
      </c>
      <c r="M34" s="63">
        <f>SUM(P18:P31)-L34*0.02</f>
        <v>19.96</v>
      </c>
      <c r="N34" s="133">
        <f>M34/L34</f>
        <v>0.83166666666666667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57" t="s">
        <v>19</v>
      </c>
      <c r="K36" s="458"/>
      <c r="L36" s="41">
        <f>L34-L35</f>
        <v>24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2.16</v>
      </c>
    </row>
    <row r="38" spans="2:14" ht="20.149999999999999" customHeight="1" thickBot="1" x14ac:dyDescent="0.5">
      <c r="B38" s="10" t="s">
        <v>700</v>
      </c>
      <c r="C38" s="6"/>
      <c r="D38" s="6"/>
      <c r="E38" s="6"/>
      <c r="F38" s="6"/>
      <c r="G38" s="6"/>
      <c r="H38" s="6"/>
      <c r="I38" s="6"/>
      <c r="J38" s="459" t="s">
        <v>21</v>
      </c>
      <c r="K38" s="460"/>
      <c r="L38" s="43">
        <f>L36+L37</f>
        <v>26.16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690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  <row r="225" spans="41:41" x14ac:dyDescent="0.45">
      <c r="AO225" s="19">
        <v>16</v>
      </c>
    </row>
  </sheetData>
  <mergeCells count="44">
    <mergeCell ref="J34:K34"/>
    <mergeCell ref="J36:K36"/>
    <mergeCell ref="J38:K38"/>
    <mergeCell ref="D26:F26"/>
    <mergeCell ref="I26:J26"/>
    <mergeCell ref="D31:F31"/>
    <mergeCell ref="I31:J31"/>
    <mergeCell ref="D32:F32"/>
    <mergeCell ref="I32:J32"/>
    <mergeCell ref="D24:F24"/>
    <mergeCell ref="I24:J24"/>
    <mergeCell ref="D28:F28"/>
    <mergeCell ref="I28:J28"/>
    <mergeCell ref="D27:F27"/>
    <mergeCell ref="I27:J27"/>
    <mergeCell ref="D21:F21"/>
    <mergeCell ref="D17:F17"/>
    <mergeCell ref="D22:F22"/>
    <mergeCell ref="I22:J22"/>
    <mergeCell ref="D25:F25"/>
    <mergeCell ref="I25:J25"/>
    <mergeCell ref="D20:F20"/>
    <mergeCell ref="I17:J17"/>
    <mergeCell ref="I21:J21"/>
    <mergeCell ref="D18:F18"/>
    <mergeCell ref="I18:J18"/>
    <mergeCell ref="D19:F19"/>
    <mergeCell ref="I19:J19"/>
    <mergeCell ref="I20:J20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234</vt:i4>
      </vt:variant>
      <vt:variant>
        <vt:lpstr>Named Ranges</vt:lpstr>
      </vt:variant>
      <vt:variant>
        <vt:i4>234</vt:i4>
      </vt:variant>
    </vt:vector>
  </HeadingPairs>
  <TitlesOfParts>
    <vt:vector size="468" baseType="lpstr">
      <vt:lpstr>Sales Master</vt:lpstr>
      <vt:lpstr>Delivery Location</vt:lpstr>
      <vt:lpstr>#01</vt:lpstr>
      <vt:lpstr>#02</vt:lpstr>
      <vt:lpstr>#03</vt:lpstr>
      <vt:lpstr>#04</vt:lpstr>
      <vt:lpstr>#05</vt:lpstr>
      <vt:lpstr>#06</vt:lpstr>
      <vt:lpstr>#07</vt:lpstr>
      <vt:lpstr>#08</vt:lpstr>
      <vt:lpstr>#09</vt:lpstr>
      <vt:lpstr>#10</vt:lpstr>
      <vt:lpstr>#12</vt:lpstr>
      <vt:lpstr>#13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#27</vt:lpstr>
      <vt:lpstr>#28</vt:lpstr>
      <vt:lpstr>#29</vt:lpstr>
      <vt:lpstr>#31</vt:lpstr>
      <vt:lpstr>#32</vt:lpstr>
      <vt:lpstr>#33</vt:lpstr>
      <vt:lpstr>#34</vt:lpstr>
      <vt:lpstr>#36</vt:lpstr>
      <vt:lpstr>#37</vt:lpstr>
      <vt:lpstr>#38</vt:lpstr>
      <vt:lpstr>#39</vt:lpstr>
      <vt:lpstr>#40</vt:lpstr>
      <vt:lpstr>#41</vt:lpstr>
      <vt:lpstr>#42</vt:lpstr>
      <vt:lpstr>#43</vt:lpstr>
      <vt:lpstr>#44</vt:lpstr>
      <vt:lpstr>#46</vt:lpstr>
      <vt:lpstr>#47</vt:lpstr>
      <vt:lpstr>#48</vt:lpstr>
      <vt:lpstr>#49</vt:lpstr>
      <vt:lpstr>#50</vt:lpstr>
      <vt:lpstr>#51</vt:lpstr>
      <vt:lpstr>#52</vt:lpstr>
      <vt:lpstr>#54</vt:lpstr>
      <vt:lpstr>#55</vt:lpstr>
      <vt:lpstr>#56</vt:lpstr>
      <vt:lpstr>#57</vt:lpstr>
      <vt:lpstr>#58</vt:lpstr>
      <vt:lpstr>#59</vt:lpstr>
      <vt:lpstr>#60</vt:lpstr>
      <vt:lpstr>#61</vt:lpstr>
      <vt:lpstr>#62</vt:lpstr>
      <vt:lpstr>#63</vt:lpstr>
      <vt:lpstr>#64</vt:lpstr>
      <vt:lpstr>#65</vt:lpstr>
      <vt:lpstr>#67</vt:lpstr>
      <vt:lpstr>#68</vt:lpstr>
      <vt:lpstr>#69</vt:lpstr>
      <vt:lpstr>#70</vt:lpstr>
      <vt:lpstr>#71</vt:lpstr>
      <vt:lpstr>#73</vt:lpstr>
      <vt:lpstr>#74</vt:lpstr>
      <vt:lpstr>#75</vt:lpstr>
      <vt:lpstr>#76</vt:lpstr>
      <vt:lpstr>#77</vt:lpstr>
      <vt:lpstr>#78</vt:lpstr>
      <vt:lpstr>#79</vt:lpstr>
      <vt:lpstr>#80</vt:lpstr>
      <vt:lpstr>#81</vt:lpstr>
      <vt:lpstr>#84</vt:lpstr>
      <vt:lpstr>#85</vt:lpstr>
      <vt:lpstr>#86</vt:lpstr>
      <vt:lpstr>#87</vt:lpstr>
      <vt:lpstr>#88</vt:lpstr>
      <vt:lpstr>#89</vt:lpstr>
      <vt:lpstr>#90</vt:lpstr>
      <vt:lpstr>#91</vt:lpstr>
      <vt:lpstr>#92</vt:lpstr>
      <vt:lpstr>#93</vt:lpstr>
      <vt:lpstr>#94</vt:lpstr>
      <vt:lpstr>#95</vt:lpstr>
      <vt:lpstr>#96</vt:lpstr>
      <vt:lpstr>#97</vt:lpstr>
      <vt:lpstr>#99</vt:lpstr>
      <vt:lpstr>#100</vt:lpstr>
      <vt:lpstr>#101</vt:lpstr>
      <vt:lpstr>#103</vt:lpstr>
      <vt:lpstr>#104</vt:lpstr>
      <vt:lpstr>#105</vt:lpstr>
      <vt:lpstr>#106</vt:lpstr>
      <vt:lpstr>#107</vt:lpstr>
      <vt:lpstr>#108</vt:lpstr>
      <vt:lpstr>#109</vt:lpstr>
      <vt:lpstr>#110</vt:lpstr>
      <vt:lpstr>#111</vt:lpstr>
      <vt:lpstr>#112</vt:lpstr>
      <vt:lpstr>#113</vt:lpstr>
      <vt:lpstr>#114</vt:lpstr>
      <vt:lpstr>#115</vt:lpstr>
      <vt:lpstr>#116</vt:lpstr>
      <vt:lpstr>#117</vt:lpstr>
      <vt:lpstr>#120</vt:lpstr>
      <vt:lpstr>#121</vt:lpstr>
      <vt:lpstr>#122</vt:lpstr>
      <vt:lpstr>#123</vt:lpstr>
      <vt:lpstr>#124</vt:lpstr>
      <vt:lpstr>#125</vt:lpstr>
      <vt:lpstr>#126</vt:lpstr>
      <vt:lpstr>#127</vt:lpstr>
      <vt:lpstr>#128</vt:lpstr>
      <vt:lpstr>#129</vt:lpstr>
      <vt:lpstr>#130</vt:lpstr>
      <vt:lpstr>#131</vt:lpstr>
      <vt:lpstr>#132</vt:lpstr>
      <vt:lpstr>#133</vt:lpstr>
      <vt:lpstr>#134</vt:lpstr>
      <vt:lpstr>#135</vt:lpstr>
      <vt:lpstr>#135 (2)</vt:lpstr>
      <vt:lpstr>#137</vt:lpstr>
      <vt:lpstr>#140</vt:lpstr>
      <vt:lpstr>#142</vt:lpstr>
      <vt:lpstr>#143</vt:lpstr>
      <vt:lpstr>#144</vt:lpstr>
      <vt:lpstr>#145</vt:lpstr>
      <vt:lpstr>#146</vt:lpstr>
      <vt:lpstr>#147</vt:lpstr>
      <vt:lpstr>#148</vt:lpstr>
      <vt:lpstr>#150</vt:lpstr>
      <vt:lpstr>#151</vt:lpstr>
      <vt:lpstr>#152</vt:lpstr>
      <vt:lpstr>#153</vt:lpstr>
      <vt:lpstr>#154</vt:lpstr>
      <vt:lpstr>#155</vt:lpstr>
      <vt:lpstr>#156</vt:lpstr>
      <vt:lpstr>#157</vt:lpstr>
      <vt:lpstr>#158</vt:lpstr>
      <vt:lpstr>#159</vt:lpstr>
      <vt:lpstr>#160</vt:lpstr>
      <vt:lpstr>#162</vt:lpstr>
      <vt:lpstr>#163</vt:lpstr>
      <vt:lpstr>#164</vt:lpstr>
      <vt:lpstr>#165</vt:lpstr>
      <vt:lpstr>#166</vt:lpstr>
      <vt:lpstr>#167</vt:lpstr>
      <vt:lpstr>#168</vt:lpstr>
      <vt:lpstr>#169</vt:lpstr>
      <vt:lpstr>#170</vt:lpstr>
      <vt:lpstr>#171</vt:lpstr>
      <vt:lpstr>#172</vt:lpstr>
      <vt:lpstr>#173</vt:lpstr>
      <vt:lpstr>#174</vt:lpstr>
      <vt:lpstr>#175</vt:lpstr>
      <vt:lpstr>#176</vt:lpstr>
      <vt:lpstr>#178</vt:lpstr>
      <vt:lpstr>#179</vt:lpstr>
      <vt:lpstr>#181</vt:lpstr>
      <vt:lpstr>#182</vt:lpstr>
      <vt:lpstr>#185</vt:lpstr>
      <vt:lpstr>#186</vt:lpstr>
      <vt:lpstr>#187</vt:lpstr>
      <vt:lpstr>#188</vt:lpstr>
      <vt:lpstr>#189</vt:lpstr>
      <vt:lpstr>#190</vt:lpstr>
      <vt:lpstr>#191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#207</vt:lpstr>
      <vt:lpstr>#208</vt:lpstr>
      <vt:lpstr>#210</vt:lpstr>
      <vt:lpstr>#211</vt:lpstr>
      <vt:lpstr>#212</vt:lpstr>
      <vt:lpstr>#213</vt:lpstr>
      <vt:lpstr>#214</vt:lpstr>
      <vt:lpstr>#215</vt:lpstr>
      <vt:lpstr>#216</vt:lpstr>
      <vt:lpstr>#217</vt:lpstr>
      <vt:lpstr>#218</vt:lpstr>
      <vt:lpstr>#219</vt:lpstr>
      <vt:lpstr>#221</vt:lpstr>
      <vt:lpstr>#222</vt:lpstr>
      <vt:lpstr>#223</vt:lpstr>
      <vt:lpstr>#224</vt:lpstr>
      <vt:lpstr>#225</vt:lpstr>
      <vt:lpstr>#226</vt:lpstr>
      <vt:lpstr>#227</vt:lpstr>
      <vt:lpstr>#228</vt:lpstr>
      <vt:lpstr>#229</vt:lpstr>
      <vt:lpstr>#230</vt:lpstr>
      <vt:lpstr>#231</vt:lpstr>
      <vt:lpstr>#232</vt:lpstr>
      <vt:lpstr>#233</vt:lpstr>
      <vt:lpstr>#234</vt:lpstr>
      <vt:lpstr>#235</vt:lpstr>
      <vt:lpstr>#236</vt:lpstr>
      <vt:lpstr>#237</vt:lpstr>
      <vt:lpstr>#238</vt:lpstr>
      <vt:lpstr>#239</vt:lpstr>
      <vt:lpstr>#240</vt:lpstr>
      <vt:lpstr>#241</vt:lpstr>
      <vt:lpstr>#242</vt:lpstr>
      <vt:lpstr>#243</vt:lpstr>
      <vt:lpstr>#244</vt:lpstr>
      <vt:lpstr>#245</vt:lpstr>
      <vt:lpstr>#246</vt:lpstr>
      <vt:lpstr>#247</vt:lpstr>
      <vt:lpstr>#248</vt:lpstr>
      <vt:lpstr>#249</vt:lpstr>
      <vt:lpstr>#250</vt:lpstr>
      <vt:lpstr>#251</vt:lpstr>
      <vt:lpstr>#252</vt:lpstr>
      <vt:lpstr>#253</vt:lpstr>
      <vt:lpstr>#254</vt:lpstr>
      <vt:lpstr>#255</vt:lpstr>
      <vt:lpstr>SAMPLE</vt:lpstr>
      <vt:lpstr>#30</vt:lpstr>
      <vt:lpstr>sEFONG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'#117'!Print_Area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'#135 (2)'!Print_Area</vt:lpstr>
      <vt:lpstr>'#137'!Print_Area</vt:lpstr>
      <vt:lpstr>'#140'!Print_Area</vt:lpstr>
      <vt:lpstr>'#142'!Print_Area</vt:lpstr>
      <vt:lpstr>'#143'!Print_Area</vt:lpstr>
      <vt:lpstr>'#144'!Print_Area</vt:lpstr>
      <vt:lpstr>'#145'!Print_Area</vt:lpstr>
      <vt:lpstr>'#146'!Print_Area</vt:lpstr>
      <vt:lpstr>'#147'!Print_Area</vt:lpstr>
      <vt:lpstr>'#148'!Print_Area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'#158'!Print_Area</vt:lpstr>
      <vt:lpstr>'#159'!Print_Area</vt:lpstr>
      <vt:lpstr>'#16'!Print_Area</vt:lpstr>
      <vt:lpstr>'#160'!Print_Area</vt:lpstr>
      <vt:lpstr>'#162'!Print_Area</vt:lpstr>
      <vt:lpstr>'#163'!Print_Area</vt:lpstr>
      <vt:lpstr>'#164'!Print_Area</vt:lpstr>
      <vt:lpstr>'#165'!Print_Area</vt:lpstr>
      <vt:lpstr>'#166'!Print_Area</vt:lpstr>
      <vt:lpstr>'#167'!Print_Area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'#181'!Print_Area</vt:lpstr>
      <vt:lpstr>'#182'!Print_Area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'#207'!Print_Area</vt:lpstr>
      <vt:lpstr>'#208'!Print_Area</vt:lpstr>
      <vt:lpstr>'#21'!Print_Area</vt:lpstr>
      <vt:lpstr>'#210'!Print_Area</vt:lpstr>
      <vt:lpstr>'#211'!Print_Area</vt:lpstr>
      <vt:lpstr>'#212'!Print_Area</vt:lpstr>
      <vt:lpstr>'#213'!Print_Area</vt:lpstr>
      <vt:lpstr>'#214'!Print_Area</vt:lpstr>
      <vt:lpstr>'#215'!Print_Area</vt:lpstr>
      <vt:lpstr>'#216'!Print_Area</vt:lpstr>
      <vt:lpstr>'#217'!Print_Area</vt:lpstr>
      <vt:lpstr>'#218'!Print_Area</vt:lpstr>
      <vt:lpstr>'#219'!Print_Area</vt:lpstr>
      <vt:lpstr>'#22'!Print_Area</vt:lpstr>
      <vt:lpstr>'#221'!Print_Area</vt:lpstr>
      <vt:lpstr>'#222'!Print_Area</vt:lpstr>
      <vt:lpstr>'#223'!Print_Area</vt:lpstr>
      <vt:lpstr>'#224'!Print_Area</vt:lpstr>
      <vt:lpstr>'#225'!Print_Area</vt:lpstr>
      <vt:lpstr>'#226'!Print_Area</vt:lpstr>
      <vt:lpstr>'#227'!Print_Area</vt:lpstr>
      <vt:lpstr>'#228'!Print_Area</vt:lpstr>
      <vt:lpstr>'#229'!Print_Area</vt:lpstr>
      <vt:lpstr>'#23'!Print_Area</vt:lpstr>
      <vt:lpstr>'#230'!Print_Area</vt:lpstr>
      <vt:lpstr>'#231'!Print_Area</vt:lpstr>
      <vt:lpstr>'#232'!Print_Area</vt:lpstr>
      <vt:lpstr>'#233'!Print_Area</vt:lpstr>
      <vt:lpstr>'#234'!Print_Area</vt:lpstr>
      <vt:lpstr>'#235'!Print_Area</vt:lpstr>
      <vt:lpstr>'#236'!Print_Area</vt:lpstr>
      <vt:lpstr>'#237'!Print_Area</vt:lpstr>
      <vt:lpstr>'#238'!Print_Area</vt:lpstr>
      <vt:lpstr>'#239'!Print_Area</vt:lpstr>
      <vt:lpstr>'#24'!Print_Area</vt:lpstr>
      <vt:lpstr>'#240'!Print_Area</vt:lpstr>
      <vt:lpstr>'#241'!Print_Area</vt:lpstr>
      <vt:lpstr>'#242'!Print_Area</vt:lpstr>
      <vt:lpstr>'#243'!Print_Area</vt:lpstr>
      <vt:lpstr>'#244'!Print_Area</vt:lpstr>
      <vt:lpstr>'#245'!Print_Area</vt:lpstr>
      <vt:lpstr>'#246'!Print_Area</vt:lpstr>
      <vt:lpstr>'#247'!Print_Area</vt:lpstr>
      <vt:lpstr>'#248'!Print_Area</vt:lpstr>
      <vt:lpstr>'#249'!Print_Area</vt:lpstr>
      <vt:lpstr>'#25'!Print_Area</vt:lpstr>
      <vt:lpstr>'#250'!Print_Area</vt:lpstr>
      <vt:lpstr>'#251'!Print_Area</vt:lpstr>
      <vt:lpstr>'#252'!Print_Area</vt:lpstr>
      <vt:lpstr>'#253'!Print_Area</vt:lpstr>
      <vt:lpstr>'#254'!Print_Area</vt:lpstr>
      <vt:lpstr>'#255'!Print_Area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'#81'!Print_Area</vt:lpstr>
      <vt:lpstr>'#84'!Print_Area</vt:lpstr>
      <vt:lpstr>'#85'!Print_Area</vt:lpstr>
      <vt:lpstr>'#86'!Print_Area</vt:lpstr>
      <vt:lpstr>'#87'!Print_Area</vt:lpstr>
      <vt:lpstr>'#88'!Print_Area</vt:lpstr>
      <vt:lpstr>'#89'!Print_Area</vt:lpstr>
      <vt:lpstr>'#90'!Print_Area</vt:lpstr>
      <vt:lpstr>'#91'!Print_Area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'#99'!Print_Area</vt:lpstr>
      <vt:lpstr>'City Energy'!Print_Area</vt:lpstr>
      <vt:lpstr>'Delivery Location'!Print_Area</vt:lpstr>
      <vt:lpstr>'Sales Master'!Print_Area</vt:lpstr>
      <vt:lpstr>SAMPLE!Print_Area</vt:lpstr>
      <vt:lpstr>sEFONG!Print_Area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2025-01-09T10:07:35Z</cp:lastPrinted>
  <dcterms:created xsi:type="dcterms:W3CDTF">2015-06-05T18:17:20Z</dcterms:created>
  <dcterms:modified xsi:type="dcterms:W3CDTF">2025-01-09T10:15:37Z</dcterms:modified>
</cp:coreProperties>
</file>